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0" windowWidth="11280" windowHeight="3645" activeTab="6"/>
  </bookViews>
  <sheets>
    <sheet name="List of Projects" sheetId="10" r:id="rId1"/>
    <sheet name="Payroll" sheetId="11" r:id="rId2"/>
    <sheet name="Long service" sheetId="17" state="hidden" r:id="rId3"/>
    <sheet name="Revenue Allocation" sheetId="1" r:id="rId4"/>
    <sheet name="Annual budget" sheetId="8" r:id="rId5"/>
    <sheet name="INCOME SPLIT" sheetId="18" r:id="rId6"/>
    <sheet name="Sheet1" sheetId="19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'List of Projects'!$A$4:$F$40</definedName>
    <definedName name="Head11">'[1]Template names'!$B$17</definedName>
    <definedName name="head1A">'[1]Template names'!$B$3</definedName>
    <definedName name="head1b">'[1]Template names'!$B$4</definedName>
    <definedName name="Head2">'[1]Template names'!$B$5</definedName>
    <definedName name="head27">'[1]Template names'!$B$33</definedName>
    <definedName name="Head3">'[1]Template names'!$B$7</definedName>
    <definedName name="Head5">'[1]Template names'!$B$9</definedName>
    <definedName name="Head5b">'[2]Template names'!$B$11</definedName>
    <definedName name="Head6">'[1]Template names'!$B$12</definedName>
    <definedName name="Head7">'[1]Template names'!$B$13</definedName>
    <definedName name="Head8">'[1]Template names'!$B$14</definedName>
    <definedName name="Head9">'[1]Template names'!$B$15</definedName>
    <definedName name="muni">'[1]Template names'!$B$93</definedName>
    <definedName name="_xlnm.Print_Area" localSheetId="4">'Annual budget'!$A$1:$G$125</definedName>
    <definedName name="_xlnm.Print_Area" localSheetId="1">Payroll!$A$1:$T$170</definedName>
    <definedName name="Vote1">'[3]Org structure'!$B$3:$B$12</definedName>
    <definedName name="Vote2">'[4]Org structure'!$B$14:$B$23</definedName>
    <definedName name="Vote3">'[4]Org structure'!$B$25:$B$34</definedName>
  </definedNames>
  <calcPr calcId="145621"/>
</workbook>
</file>

<file path=xl/calcChain.xml><?xml version="1.0" encoding="utf-8"?>
<calcChain xmlns="http://schemas.openxmlformats.org/spreadsheetml/2006/main">
  <c r="H19" i="1" l="1"/>
  <c r="H16" i="1"/>
  <c r="B19" i="1"/>
  <c r="J20" i="11"/>
  <c r="J19" i="11"/>
  <c r="G19" i="11"/>
  <c r="E19" i="11"/>
  <c r="B20" i="11"/>
  <c r="B19" i="11"/>
  <c r="J18" i="11"/>
  <c r="G18" i="11"/>
  <c r="E18" i="11"/>
  <c r="B18" i="11"/>
  <c r="J17" i="11"/>
  <c r="E17" i="11"/>
  <c r="B17" i="11"/>
  <c r="J16" i="11"/>
  <c r="G16" i="11"/>
  <c r="E16" i="11"/>
  <c r="B16" i="11"/>
  <c r="J15" i="11"/>
  <c r="E15" i="11"/>
  <c r="B15" i="11"/>
  <c r="J14" i="11"/>
  <c r="E14" i="11"/>
  <c r="B14" i="11"/>
  <c r="J13" i="11"/>
  <c r="I13" i="11"/>
  <c r="J12" i="11"/>
  <c r="I12" i="11"/>
  <c r="I21" i="11" s="1"/>
  <c r="J11" i="11"/>
  <c r="E11" i="11"/>
  <c r="B11" i="11"/>
  <c r="J10" i="11"/>
  <c r="E10" i="11"/>
  <c r="B10" i="11"/>
  <c r="J9" i="11"/>
  <c r="E9" i="11"/>
  <c r="B9" i="11"/>
  <c r="J8" i="11"/>
  <c r="G8" i="11"/>
  <c r="E8" i="11"/>
  <c r="B8" i="11"/>
  <c r="J7" i="11"/>
  <c r="I7" i="11"/>
  <c r="J6" i="11"/>
  <c r="G6" i="11"/>
  <c r="E6" i="11"/>
  <c r="J5" i="11"/>
  <c r="J21" i="11" s="1"/>
  <c r="G5" i="11"/>
  <c r="E5" i="11"/>
  <c r="E21" i="11" s="1"/>
  <c r="B6" i="11"/>
  <c r="B21" i="11" s="1"/>
  <c r="B5" i="11"/>
  <c r="O166" i="11" l="1"/>
  <c r="J31" i="11"/>
  <c r="D37" i="8"/>
  <c r="E85" i="8" l="1"/>
  <c r="E104" i="8"/>
  <c r="D59" i="8"/>
  <c r="D67" i="8" s="1"/>
  <c r="G37" i="8"/>
  <c r="E110" i="8"/>
  <c r="E115" i="8" s="1"/>
  <c r="C7" i="19"/>
  <c r="D7" i="19"/>
  <c r="E7" i="19"/>
  <c r="F7" i="19"/>
  <c r="B7" i="19"/>
  <c r="G5" i="19"/>
  <c r="G7" i="19" s="1"/>
  <c r="G119" i="19"/>
  <c r="F115" i="8"/>
  <c r="D115" i="8"/>
  <c r="C115" i="8"/>
  <c r="B115" i="8"/>
  <c r="G113" i="8"/>
  <c r="G112" i="8"/>
  <c r="G111" i="8"/>
  <c r="G110" i="8"/>
  <c r="G109" i="8"/>
  <c r="G108" i="8"/>
  <c r="G107" i="8"/>
  <c r="G106" i="8"/>
  <c r="F104" i="8"/>
  <c r="D104" i="8"/>
  <c r="C104" i="8"/>
  <c r="B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F67" i="8"/>
  <c r="E67" i="8"/>
  <c r="C67" i="8"/>
  <c r="B67" i="8"/>
  <c r="G66" i="8"/>
  <c r="G65" i="8"/>
  <c r="G64" i="8"/>
  <c r="G63" i="8"/>
  <c r="G62" i="8"/>
  <c r="G61" i="8"/>
  <c r="G60" i="8"/>
  <c r="G58" i="8"/>
  <c r="G57" i="8"/>
  <c r="G56" i="8"/>
  <c r="F54" i="8"/>
  <c r="E54" i="8"/>
  <c r="D54" i="8"/>
  <c r="C54" i="8"/>
  <c r="B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F115" i="19"/>
  <c r="F117" i="19" s="1"/>
  <c r="F121" i="19" s="1"/>
  <c r="D115" i="19"/>
  <c r="C115" i="19"/>
  <c r="B115" i="19"/>
  <c r="G113" i="19"/>
  <c r="G112" i="19"/>
  <c r="G111" i="19"/>
  <c r="G109" i="19"/>
  <c r="G108" i="19"/>
  <c r="G107" i="19"/>
  <c r="G106" i="19"/>
  <c r="F104" i="19"/>
  <c r="E104" i="19"/>
  <c r="D104" i="19"/>
  <c r="C104" i="19"/>
  <c r="B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F67" i="19"/>
  <c r="E67" i="19"/>
  <c r="D67" i="19"/>
  <c r="C67" i="19"/>
  <c r="B67" i="19"/>
  <c r="G66" i="19"/>
  <c r="G65" i="19"/>
  <c r="G64" i="19"/>
  <c r="G63" i="19"/>
  <c r="G62" i="19"/>
  <c r="G61" i="19"/>
  <c r="G60" i="19"/>
  <c r="G59" i="19"/>
  <c r="G58" i="19"/>
  <c r="G57" i="19"/>
  <c r="G56" i="19"/>
  <c r="F54" i="19"/>
  <c r="E54" i="19"/>
  <c r="D54" i="19"/>
  <c r="C54" i="19"/>
  <c r="B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54" i="19" s="1"/>
  <c r="G59" i="8" l="1"/>
  <c r="B117" i="19"/>
  <c r="B121" i="19" s="1"/>
  <c r="G67" i="19"/>
  <c r="G104" i="19"/>
  <c r="C117" i="19"/>
  <c r="C121" i="19" s="1"/>
  <c r="D117" i="19"/>
  <c r="D121" i="19" s="1"/>
  <c r="G85" i="8"/>
  <c r="G104" i="8" s="1"/>
  <c r="E110" i="19"/>
  <c r="G67" i="8"/>
  <c r="G115" i="8"/>
  <c r="K115" i="8" s="1"/>
  <c r="G54" i="8"/>
  <c r="G110" i="19" l="1"/>
  <c r="G115" i="19" s="1"/>
  <c r="G117" i="19" s="1"/>
  <c r="G121" i="19" s="1"/>
  <c r="E115" i="19"/>
  <c r="E117" i="19" s="1"/>
  <c r="E121" i="19" s="1"/>
  <c r="B135" i="11" l="1"/>
  <c r="B131" i="11"/>
  <c r="B134" i="11"/>
  <c r="B147" i="11"/>
  <c r="B142" i="11"/>
  <c r="B141" i="11"/>
  <c r="B148" i="11"/>
  <c r="B146" i="11"/>
  <c r="B150" i="11"/>
  <c r="B151" i="11"/>
  <c r="B139" i="11"/>
  <c r="B136" i="11"/>
  <c r="B130" i="11"/>
  <c r="B127" i="11"/>
  <c r="B120" i="11"/>
  <c r="B143" i="11"/>
  <c r="B138" i="11"/>
  <c r="B111" i="11"/>
  <c r="B108" i="11"/>
  <c r="B107" i="11"/>
  <c r="B106" i="11"/>
  <c r="B38" i="11"/>
  <c r="B103" i="11"/>
  <c r="B98" i="11"/>
  <c r="B97" i="11"/>
  <c r="B75" i="11"/>
  <c r="B78" i="11"/>
  <c r="B81" i="11"/>
  <c r="B79" i="11"/>
  <c r="B83" i="11"/>
  <c r="B46" i="11"/>
  <c r="B57" i="11"/>
  <c r="B56" i="11"/>
  <c r="B55" i="11"/>
  <c r="B43" i="11"/>
  <c r="B40" i="11"/>
  <c r="B54" i="11"/>
  <c r="B53" i="11"/>
  <c r="B52" i="11"/>
  <c r="B50" i="11"/>
  <c r="B47" i="11"/>
  <c r="B49" i="11"/>
  <c r="B27" i="11"/>
  <c r="B31" i="11" s="1"/>
  <c r="B30" i="11"/>
  <c r="K30" i="11" s="1"/>
  <c r="B29" i="11"/>
  <c r="B28" i="11"/>
  <c r="I28" i="11"/>
  <c r="I27" i="11"/>
  <c r="H27" i="11"/>
  <c r="G28" i="11"/>
  <c r="E28" i="11"/>
  <c r="G27" i="11"/>
  <c r="E27" i="11"/>
  <c r="M30" i="11"/>
  <c r="L30" i="11"/>
  <c r="I29" i="11"/>
  <c r="M162" i="11"/>
  <c r="M163" i="11"/>
  <c r="M164" i="11"/>
  <c r="M167" i="11"/>
  <c r="M168" i="11"/>
  <c r="M161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18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96" i="11"/>
  <c r="M76" i="11"/>
  <c r="M77" i="11"/>
  <c r="M78" i="11"/>
  <c r="M79" i="11"/>
  <c r="M80" i="11"/>
  <c r="M81" i="11"/>
  <c r="M83" i="11"/>
  <c r="M85" i="11"/>
  <c r="M75" i="11"/>
  <c r="M65" i="11"/>
  <c r="M66" i="11"/>
  <c r="M67" i="11"/>
  <c r="M68" i="11"/>
  <c r="M64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38" i="11"/>
  <c r="M28" i="11"/>
  <c r="M29" i="11"/>
  <c r="M27" i="11"/>
  <c r="B68" i="11"/>
  <c r="B67" i="11"/>
  <c r="B66" i="11"/>
  <c r="B65" i="11"/>
  <c r="B64" i="11"/>
  <c r="F169" i="11"/>
  <c r="B5" i="8"/>
  <c r="M152" i="11" l="1"/>
  <c r="G31" i="11"/>
  <c r="I31" i="11"/>
  <c r="O30" i="11"/>
  <c r="B69" i="11"/>
  <c r="M169" i="11"/>
  <c r="M58" i="11"/>
  <c r="M31" i="11"/>
  <c r="K120" i="18"/>
  <c r="L119" i="18" s="1"/>
  <c r="M119" i="18" s="1"/>
  <c r="K109" i="18"/>
  <c r="L108" i="18" s="1"/>
  <c r="M108" i="18" s="1"/>
  <c r="K92" i="18"/>
  <c r="L92" i="18" s="1"/>
  <c r="K81" i="18"/>
  <c r="L81" i="18" s="1"/>
  <c r="K70" i="18"/>
  <c r="L70" i="18" s="1"/>
  <c r="K59" i="18"/>
  <c r="L59" i="18" s="1"/>
  <c r="K44" i="18"/>
  <c r="L44" i="18" s="1"/>
  <c r="K33" i="18"/>
  <c r="L33" i="18" s="1"/>
  <c r="K22" i="18"/>
  <c r="L22" i="18" s="1"/>
  <c r="L20" i="18"/>
  <c r="M20" i="18" s="1"/>
  <c r="L17" i="18"/>
  <c r="M17" i="18" s="1"/>
  <c r="L76" i="18" l="1"/>
  <c r="M76" i="18" s="1"/>
  <c r="L18" i="18"/>
  <c r="M18" i="18" s="1"/>
  <c r="L57" i="18"/>
  <c r="M57" i="18" s="1"/>
  <c r="L19" i="18"/>
  <c r="M19" i="18" s="1"/>
  <c r="L58" i="18"/>
  <c r="M58" i="18" s="1"/>
  <c r="L115" i="18"/>
  <c r="M115" i="18" s="1"/>
  <c r="L117" i="18"/>
  <c r="M117" i="18" s="1"/>
  <c r="L116" i="18"/>
  <c r="M116" i="18" s="1"/>
  <c r="L118" i="18"/>
  <c r="M118" i="18" s="1"/>
  <c r="L120" i="18"/>
  <c r="L104" i="18"/>
  <c r="M104" i="18" s="1"/>
  <c r="L106" i="18"/>
  <c r="M106" i="18" s="1"/>
  <c r="L105" i="18"/>
  <c r="M105" i="18" s="1"/>
  <c r="L107" i="18"/>
  <c r="M107" i="18" s="1"/>
  <c r="L109" i="18"/>
  <c r="L87" i="18"/>
  <c r="M87" i="18" s="1"/>
  <c r="L89" i="18"/>
  <c r="M89" i="18" s="1"/>
  <c r="L77" i="18"/>
  <c r="M77" i="18" s="1"/>
  <c r="L78" i="18"/>
  <c r="M78" i="18" s="1"/>
  <c r="L79" i="18"/>
  <c r="M79" i="18" s="1"/>
  <c r="L88" i="18"/>
  <c r="M88" i="18" s="1"/>
  <c r="L90" i="18"/>
  <c r="M90" i="18" s="1"/>
  <c r="L66" i="18"/>
  <c r="M66" i="18" s="1"/>
  <c r="L69" i="18"/>
  <c r="M69" i="18" s="1"/>
  <c r="L65" i="18"/>
  <c r="M65" i="18" s="1"/>
  <c r="L67" i="18"/>
  <c r="M67" i="18" s="1"/>
  <c r="L68" i="18"/>
  <c r="M68" i="18" s="1"/>
  <c r="L55" i="18"/>
  <c r="M55" i="18" s="1"/>
  <c r="L54" i="18"/>
  <c r="M54" i="18" s="1"/>
  <c r="L56" i="18"/>
  <c r="M56" i="18" s="1"/>
  <c r="L40" i="18"/>
  <c r="M40" i="18" s="1"/>
  <c r="L39" i="18"/>
  <c r="M39" i="18" s="1"/>
  <c r="L41" i="18"/>
  <c r="M41" i="18" s="1"/>
  <c r="L28" i="18"/>
  <c r="M28" i="18" s="1"/>
  <c r="L29" i="18"/>
  <c r="M29" i="18" s="1"/>
  <c r="L30" i="18"/>
  <c r="M30" i="18" s="1"/>
  <c r="K11" i="18"/>
  <c r="L11" i="18" s="1"/>
  <c r="C43" i="18"/>
  <c r="D43" i="18" s="1"/>
  <c r="C32" i="18"/>
  <c r="D32" i="18" s="1"/>
  <c r="D31" i="18"/>
  <c r="E31" i="18" s="1"/>
  <c r="D30" i="18"/>
  <c r="E30" i="18" s="1"/>
  <c r="D27" i="18"/>
  <c r="E27" i="18" s="1"/>
  <c r="D28" i="18" l="1"/>
  <c r="E28" i="18" s="1"/>
  <c r="D29" i="18"/>
  <c r="E29" i="18" s="1"/>
  <c r="D38" i="18"/>
  <c r="E38" i="18" s="1"/>
  <c r="D39" i="18"/>
  <c r="E39" i="18" s="1"/>
  <c r="D40" i="18"/>
  <c r="E40" i="18" s="1"/>
  <c r="D42" i="18"/>
  <c r="E42" i="18" s="1"/>
  <c r="D41" i="18"/>
  <c r="E41" i="18" s="1"/>
  <c r="L7" i="18"/>
  <c r="M7" i="18" s="1"/>
  <c r="L6" i="18"/>
  <c r="M6" i="18" s="1"/>
  <c r="L8" i="18"/>
  <c r="M8" i="18" s="1"/>
  <c r="L9" i="18"/>
  <c r="M9" i="18" s="1"/>
  <c r="B140" i="11" l="1"/>
  <c r="B149" i="11"/>
  <c r="B145" i="11"/>
  <c r="B144" i="11"/>
  <c r="B137" i="11"/>
  <c r="B133" i="11"/>
  <c r="B132" i="11"/>
  <c r="B129" i="11"/>
  <c r="B128" i="11"/>
  <c r="B126" i="11"/>
  <c r="B125" i="11"/>
  <c r="B124" i="11"/>
  <c r="B123" i="11"/>
  <c r="B122" i="11"/>
  <c r="B121" i="11"/>
  <c r="B119" i="11"/>
  <c r="B118" i="11"/>
  <c r="B51" i="11"/>
  <c r="B48" i="11"/>
  <c r="B45" i="11"/>
  <c r="B44" i="11"/>
  <c r="B42" i="11"/>
  <c r="B41" i="11"/>
  <c r="B39" i="11"/>
  <c r="F19" i="11"/>
  <c r="F16" i="11"/>
  <c r="B100" i="11"/>
  <c r="B110" i="11"/>
  <c r="B109" i="11"/>
  <c r="B99" i="11"/>
  <c r="B105" i="11"/>
  <c r="B104" i="11"/>
  <c r="B102" i="11"/>
  <c r="B101" i="11"/>
  <c r="B96" i="11"/>
  <c r="B85" i="11"/>
  <c r="B77" i="11"/>
  <c r="B76" i="11"/>
  <c r="B86" i="11" s="1"/>
  <c r="B80" i="11"/>
  <c r="B58" i="11" l="1"/>
  <c r="B112" i="11"/>
  <c r="B152" i="11"/>
  <c r="D13" i="1"/>
  <c r="G12" i="1"/>
  <c r="H12" i="1" s="1"/>
  <c r="C21" i="18" l="1"/>
  <c r="D21" i="18" s="1"/>
  <c r="C11" i="18"/>
  <c r="D11" i="18" s="1"/>
  <c r="D7" i="18" l="1"/>
  <c r="E7" i="18" s="1"/>
  <c r="C22" i="1" s="1"/>
  <c r="D8" i="18"/>
  <c r="E8" i="18" s="1"/>
  <c r="D22" i="1" s="1"/>
  <c r="D16" i="18"/>
  <c r="E16" i="18" s="1"/>
  <c r="B26" i="1" s="1"/>
  <c r="D18" i="18"/>
  <c r="E18" i="18" s="1"/>
  <c r="D26" i="1" s="1"/>
  <c r="D9" i="18"/>
  <c r="E9" i="18" s="1"/>
  <c r="E22" i="1" s="1"/>
  <c r="D6" i="18"/>
  <c r="E6" i="18" s="1"/>
  <c r="B22" i="1" s="1"/>
  <c r="D10" i="18"/>
  <c r="E10" i="18" s="1"/>
  <c r="F22" i="1" s="1"/>
  <c r="D17" i="18"/>
  <c r="E17" i="18" s="1"/>
  <c r="C26" i="1" s="1"/>
  <c r="D19" i="18"/>
  <c r="E19" i="18" s="1"/>
  <c r="E26" i="1" s="1"/>
  <c r="D20" i="18"/>
  <c r="E20" i="18" s="1"/>
  <c r="F26" i="1" s="1"/>
  <c r="C25" i="10" l="1"/>
  <c r="C26" i="10" s="1"/>
  <c r="C11" i="10"/>
  <c r="G23" i="1" l="1"/>
  <c r="H23" i="1" s="1"/>
  <c r="G24" i="1"/>
  <c r="H24" i="1" s="1"/>
  <c r="G25" i="1"/>
  <c r="H25" i="1" s="1"/>
  <c r="G27" i="1"/>
  <c r="H27" i="1" s="1"/>
  <c r="G22" i="1"/>
  <c r="H22" i="1" s="1"/>
  <c r="B28" i="1"/>
  <c r="G11" i="1"/>
  <c r="G18" i="1"/>
  <c r="H18" i="1" s="1"/>
  <c r="G17" i="1"/>
  <c r="H17" i="1" s="1"/>
  <c r="C19" i="1"/>
  <c r="D19" i="1"/>
  <c r="E19" i="1"/>
  <c r="F19" i="1"/>
  <c r="C13" i="1"/>
  <c r="E13" i="1"/>
  <c r="F13" i="1"/>
  <c r="B13" i="1"/>
  <c r="C8" i="1"/>
  <c r="D8" i="1"/>
  <c r="E8" i="1"/>
  <c r="F8" i="1"/>
  <c r="B8" i="1"/>
  <c r="G5" i="1"/>
  <c r="H5" i="1" s="1"/>
  <c r="G6" i="1"/>
  <c r="H6" i="1" s="1"/>
  <c r="G7" i="1"/>
  <c r="H7" i="1" s="1"/>
  <c r="G4" i="1"/>
  <c r="H4" i="1" s="1"/>
  <c r="H8" i="1" l="1"/>
  <c r="H11" i="1"/>
  <c r="H13" i="1" s="1"/>
  <c r="G13" i="1"/>
  <c r="H28" i="1"/>
  <c r="B30" i="1"/>
  <c r="B123" i="8" s="1"/>
  <c r="G28" i="1"/>
  <c r="G19" i="1"/>
  <c r="N86" i="11"/>
  <c r="D86" i="11"/>
  <c r="C86" i="11"/>
  <c r="N152" i="11"/>
  <c r="C152" i="11"/>
  <c r="E169" i="11"/>
  <c r="H21" i="11"/>
  <c r="L133" i="11"/>
  <c r="L126" i="11"/>
  <c r="L121" i="11"/>
  <c r="L119" i="11"/>
  <c r="L46" i="11"/>
  <c r="L45" i="11"/>
  <c r="B161" i="11"/>
  <c r="B162" i="11"/>
  <c r="B163" i="11"/>
  <c r="B167" i="11"/>
  <c r="K167" i="11"/>
  <c r="I168" i="11"/>
  <c r="B168" i="11"/>
  <c r="K165" i="11"/>
  <c r="G164" i="11"/>
  <c r="B164" i="11"/>
  <c r="G163" i="11"/>
  <c r="G162" i="11"/>
  <c r="L162" i="11"/>
  <c r="L163" i="11"/>
  <c r="L164" i="11"/>
  <c r="L167" i="11"/>
  <c r="L168" i="11"/>
  <c r="L161" i="11"/>
  <c r="I161" i="11"/>
  <c r="I169" i="11" s="1"/>
  <c r="L150" i="11"/>
  <c r="I150" i="11"/>
  <c r="G148" i="11"/>
  <c r="F150" i="11"/>
  <c r="E150" i="11"/>
  <c r="L149" i="11"/>
  <c r="I149" i="11"/>
  <c r="E149" i="11"/>
  <c r="J149" i="11"/>
  <c r="G151" i="11"/>
  <c r="E151" i="11"/>
  <c r="G146" i="11"/>
  <c r="G145" i="11"/>
  <c r="G144" i="11"/>
  <c r="G143" i="11"/>
  <c r="E143" i="11"/>
  <c r="G142" i="11"/>
  <c r="F142" i="11"/>
  <c r="G140" i="11"/>
  <c r="G139" i="11"/>
  <c r="F139" i="11"/>
  <c r="E140" i="11"/>
  <c r="E139" i="11"/>
  <c r="E138" i="11"/>
  <c r="G137" i="11"/>
  <c r="G136" i="11"/>
  <c r="E136" i="11"/>
  <c r="I135" i="11"/>
  <c r="G135" i="11"/>
  <c r="E135" i="11"/>
  <c r="G134" i="11"/>
  <c r="E134" i="11"/>
  <c r="G133" i="11"/>
  <c r="G132" i="11"/>
  <c r="L131" i="11"/>
  <c r="I131" i="11"/>
  <c r="G131" i="11"/>
  <c r="F131" i="11"/>
  <c r="J131" i="11"/>
  <c r="G130" i="11"/>
  <c r="E130" i="11"/>
  <c r="E128" i="11"/>
  <c r="F147" i="11"/>
  <c r="E147" i="11"/>
  <c r="L127" i="11"/>
  <c r="L128" i="11"/>
  <c r="L129" i="11"/>
  <c r="L130" i="11"/>
  <c r="L132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51" i="11"/>
  <c r="G126" i="11"/>
  <c r="F126" i="11"/>
  <c r="I127" i="11"/>
  <c r="G127" i="11"/>
  <c r="F127" i="11"/>
  <c r="L125" i="11"/>
  <c r="G125" i="11"/>
  <c r="F125" i="11"/>
  <c r="L124" i="11"/>
  <c r="G124" i="11"/>
  <c r="L123" i="11"/>
  <c r="F123" i="11"/>
  <c r="L122" i="11"/>
  <c r="G122" i="11"/>
  <c r="G121" i="11"/>
  <c r="F121" i="11"/>
  <c r="L120" i="11"/>
  <c r="L118" i="11"/>
  <c r="G120" i="11"/>
  <c r="E120" i="11"/>
  <c r="K120" i="11"/>
  <c r="G119" i="11"/>
  <c r="G118" i="11"/>
  <c r="E118" i="11"/>
  <c r="K118" i="11"/>
  <c r="L28" i="11"/>
  <c r="L29" i="11"/>
  <c r="L27" i="11"/>
  <c r="H31" i="11"/>
  <c r="F11" i="11"/>
  <c r="F10" i="11"/>
  <c r="F8" i="11"/>
  <c r="F6" i="11"/>
  <c r="F5" i="11"/>
  <c r="D19" i="11"/>
  <c r="D18" i="11"/>
  <c r="D6" i="11"/>
  <c r="C19" i="11"/>
  <c r="C17" i="11"/>
  <c r="C16" i="11"/>
  <c r="C11" i="11"/>
  <c r="C10" i="11"/>
  <c r="C9" i="11"/>
  <c r="C8" i="11"/>
  <c r="H66" i="11"/>
  <c r="H65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96" i="11"/>
  <c r="L39" i="11"/>
  <c r="L40" i="11"/>
  <c r="L41" i="11"/>
  <c r="L42" i="11"/>
  <c r="L43" i="11"/>
  <c r="L47" i="11"/>
  <c r="L48" i="11"/>
  <c r="L49" i="11"/>
  <c r="L50" i="11"/>
  <c r="L51" i="11"/>
  <c r="L52" i="11"/>
  <c r="L53" i="11"/>
  <c r="L54" i="11"/>
  <c r="L55" i="11"/>
  <c r="L56" i="11"/>
  <c r="L57" i="11"/>
  <c r="L38" i="11"/>
  <c r="L58" i="11" s="1"/>
  <c r="F21" i="11" l="1"/>
  <c r="K5" i="11"/>
  <c r="L152" i="11"/>
  <c r="L169" i="11"/>
  <c r="D21" i="11"/>
  <c r="B169" i="11"/>
  <c r="C21" i="11"/>
  <c r="G169" i="11"/>
  <c r="C169" i="11"/>
  <c r="L31" i="11"/>
  <c r="M69" i="11"/>
  <c r="H30" i="1"/>
  <c r="E31" i="11"/>
  <c r="E152" i="11"/>
  <c r="K150" i="11"/>
  <c r="H165" i="11"/>
  <c r="H150" i="11"/>
  <c r="J150" i="11"/>
  <c r="K27" i="11"/>
  <c r="K29" i="11"/>
  <c r="O29" i="11" s="1"/>
  <c r="K131" i="11"/>
  <c r="K149" i="11"/>
  <c r="K28" i="11"/>
  <c r="O28" i="11" s="1"/>
  <c r="H131" i="11"/>
  <c r="H149" i="11"/>
  <c r="L85" i="11"/>
  <c r="L83" i="11"/>
  <c r="L81" i="11"/>
  <c r="L80" i="11"/>
  <c r="L79" i="11"/>
  <c r="L78" i="11"/>
  <c r="L77" i="11"/>
  <c r="L76" i="11"/>
  <c r="L75" i="11"/>
  <c r="O27" i="11" l="1"/>
  <c r="K31" i="11"/>
  <c r="O149" i="11"/>
  <c r="O131" i="11"/>
  <c r="L86" i="11"/>
  <c r="F78" i="11"/>
  <c r="G85" i="11"/>
  <c r="G83" i="11"/>
  <c r="G81" i="11"/>
  <c r="G80" i="11"/>
  <c r="G79" i="11"/>
  <c r="G78" i="11"/>
  <c r="E79" i="11"/>
  <c r="E81" i="11"/>
  <c r="E83" i="11"/>
  <c r="E85" i="11"/>
  <c r="I111" i="11"/>
  <c r="I104" i="11"/>
  <c r="I97" i="11"/>
  <c r="G99" i="11"/>
  <c r="G106" i="11"/>
  <c r="G111" i="11"/>
  <c r="G103" i="11"/>
  <c r="G105" i="11"/>
  <c r="G104" i="11"/>
  <c r="G75" i="11"/>
  <c r="G109" i="11"/>
  <c r="G102" i="11"/>
  <c r="G101" i="11"/>
  <c r="G76" i="11"/>
  <c r="G100" i="11"/>
  <c r="G110" i="11"/>
  <c r="G77" i="11"/>
  <c r="E77" i="11"/>
  <c r="G97" i="11"/>
  <c r="G96" i="11"/>
  <c r="F105" i="11"/>
  <c r="F106" i="11"/>
  <c r="F103" i="11"/>
  <c r="F102" i="11"/>
  <c r="F77" i="11"/>
  <c r="F97" i="11"/>
  <c r="E75" i="11"/>
  <c r="E111" i="11"/>
  <c r="E108" i="11"/>
  <c r="E107" i="11"/>
  <c r="E106" i="11"/>
  <c r="E105" i="11"/>
  <c r="E104" i="11"/>
  <c r="E103" i="11"/>
  <c r="E102" i="11"/>
  <c r="E101" i="11"/>
  <c r="E98" i="11"/>
  <c r="E96" i="11"/>
  <c r="I47" i="11"/>
  <c r="G57" i="11"/>
  <c r="G55" i="11"/>
  <c r="G56" i="11" s="1"/>
  <c r="G51" i="11"/>
  <c r="G49" i="11"/>
  <c r="G48" i="11"/>
  <c r="G47" i="11"/>
  <c r="G45" i="11"/>
  <c r="G53" i="11"/>
  <c r="G54" i="11"/>
  <c r="G46" i="11"/>
  <c r="G52" i="11"/>
  <c r="G50" i="11"/>
  <c r="G44" i="11"/>
  <c r="G43" i="11"/>
  <c r="G42" i="11"/>
  <c r="G41" i="11"/>
  <c r="G40" i="11"/>
  <c r="G39" i="11"/>
  <c r="G38" i="11"/>
  <c r="F56" i="11"/>
  <c r="F39" i="11"/>
  <c r="E54" i="11"/>
  <c r="E53" i="11"/>
  <c r="E52" i="11"/>
  <c r="E51" i="11"/>
  <c r="E50" i="11"/>
  <c r="E49" i="11"/>
  <c r="E48" i="11"/>
  <c r="E47" i="11"/>
  <c r="E39" i="11"/>
  <c r="E58" i="11" s="1"/>
  <c r="G58" i="11" l="1"/>
  <c r="G86" i="11"/>
  <c r="G7" i="11"/>
  <c r="G12" i="11"/>
  <c r="K12" i="11" s="1"/>
  <c r="G13" i="11"/>
  <c r="K20" i="11"/>
  <c r="G21" i="11" l="1"/>
  <c r="K21" i="11" s="1"/>
  <c r="K14" i="11"/>
  <c r="M112" i="11"/>
  <c r="K13" i="11"/>
  <c r="K15" i="11"/>
  <c r="K7" i="11"/>
  <c r="M86" i="11"/>
  <c r="K18" i="11"/>
  <c r="K16" i="11"/>
  <c r="K10" i="11"/>
  <c r="K8" i="11"/>
  <c r="K6" i="11"/>
  <c r="K19" i="11"/>
  <c r="K17" i="11"/>
  <c r="K11" i="11"/>
  <c r="K9" i="11"/>
  <c r="F108" i="11" l="1"/>
  <c r="G108" i="11"/>
  <c r="I108" i="11"/>
  <c r="G12" i="17"/>
  <c r="F12" i="17"/>
  <c r="E12" i="17"/>
  <c r="G11" i="17"/>
  <c r="G17" i="17" s="1"/>
  <c r="F11" i="17"/>
  <c r="E11" i="17"/>
  <c r="G10" i="17"/>
  <c r="F10" i="17"/>
  <c r="E10" i="17"/>
  <c r="G9" i="17"/>
  <c r="F9" i="17"/>
  <c r="E9" i="17"/>
  <c r="G8" i="17"/>
  <c r="F8" i="17"/>
  <c r="E8" i="17"/>
  <c r="G7" i="17"/>
  <c r="G16" i="17" s="1"/>
  <c r="F7" i="17"/>
  <c r="E7" i="17"/>
  <c r="G6" i="17"/>
  <c r="F6" i="17"/>
  <c r="E6" i="17"/>
  <c r="J108" i="11" l="1"/>
  <c r="K108" i="11"/>
  <c r="H108" i="11"/>
  <c r="G13" i="17"/>
  <c r="G15" i="17"/>
  <c r="O108" i="11" l="1"/>
  <c r="G19" i="17"/>
  <c r="D152" i="11" l="1"/>
  <c r="J167" i="11"/>
  <c r="O167" i="11" s="1"/>
  <c r="I151" i="11"/>
  <c r="F151" i="11"/>
  <c r="H151" i="11"/>
  <c r="I142" i="11"/>
  <c r="K142" i="11"/>
  <c r="J122" i="11"/>
  <c r="F122" i="11"/>
  <c r="I122" i="11"/>
  <c r="I107" i="11"/>
  <c r="G107" i="11"/>
  <c r="F107" i="11"/>
  <c r="K107" i="11"/>
  <c r="K95" i="11"/>
  <c r="H94" i="11"/>
  <c r="K93" i="11"/>
  <c r="K92" i="11"/>
  <c r="K84" i="11"/>
  <c r="I81" i="11"/>
  <c r="F81" i="11"/>
  <c r="K81" i="11"/>
  <c r="H64" i="11"/>
  <c r="H69" i="11" s="1"/>
  <c r="I54" i="11"/>
  <c r="F54" i="11"/>
  <c r="K54" i="11"/>
  <c r="I53" i="11"/>
  <c r="F53" i="11"/>
  <c r="H53" i="11"/>
  <c r="H43" i="11"/>
  <c r="K42" i="11"/>
  <c r="F41" i="11"/>
  <c r="H41" i="11"/>
  <c r="D169" i="11" l="1"/>
  <c r="H122" i="11"/>
  <c r="K151" i="11"/>
  <c r="J151" i="11"/>
  <c r="H148" i="11"/>
  <c r="J165" i="11"/>
  <c r="O165" i="11" s="1"/>
  <c r="G150" i="11"/>
  <c r="O150" i="11" s="1"/>
  <c r="J148" i="11"/>
  <c r="K148" i="11"/>
  <c r="H142" i="11"/>
  <c r="J142" i="11"/>
  <c r="K127" i="11"/>
  <c r="H127" i="11"/>
  <c r="J127" i="11"/>
  <c r="K122" i="11"/>
  <c r="J53" i="11"/>
  <c r="K53" i="11"/>
  <c r="K41" i="11"/>
  <c r="J54" i="11"/>
  <c r="J64" i="11"/>
  <c r="K64" i="11"/>
  <c r="J84" i="11"/>
  <c r="L93" i="11"/>
  <c r="H107" i="11"/>
  <c r="J107" i="11"/>
  <c r="H92" i="11"/>
  <c r="J94" i="11"/>
  <c r="E92" i="11"/>
  <c r="K94" i="11"/>
  <c r="H95" i="11"/>
  <c r="J92" i="11"/>
  <c r="H93" i="11"/>
  <c r="L94" i="11"/>
  <c r="E95" i="11"/>
  <c r="J93" i="11"/>
  <c r="J95" i="11"/>
  <c r="H84" i="11"/>
  <c r="E84" i="11"/>
  <c r="E86" i="11" s="1"/>
  <c r="H81" i="11"/>
  <c r="H82" i="11"/>
  <c r="J81" i="11"/>
  <c r="L64" i="11"/>
  <c r="H54" i="11"/>
  <c r="K43" i="11"/>
  <c r="J41" i="11"/>
  <c r="H42" i="11"/>
  <c r="J43" i="11"/>
  <c r="J42" i="11"/>
  <c r="O151" i="11" l="1"/>
  <c r="L112" i="11"/>
  <c r="O148" i="11"/>
  <c r="O41" i="11"/>
  <c r="O142" i="11"/>
  <c r="O95" i="11"/>
  <c r="O53" i="11"/>
  <c r="O42" i="11"/>
  <c r="O54" i="11"/>
  <c r="O64" i="11"/>
  <c r="O127" i="11"/>
  <c r="O94" i="11"/>
  <c r="O122" i="11"/>
  <c r="O81" i="11"/>
  <c r="O107" i="11"/>
  <c r="O92" i="11"/>
  <c r="O43" i="11"/>
  <c r="O84" i="11"/>
  <c r="O93" i="11"/>
  <c r="C12" i="10" l="1"/>
  <c r="C37" i="10"/>
  <c r="C38" i="10" s="1"/>
  <c r="C33" i="10"/>
  <c r="C34" i="10" s="1"/>
  <c r="C23" i="10" l="1"/>
  <c r="C40" i="10" s="1"/>
  <c r="N169" i="11" l="1"/>
  <c r="N112" i="11"/>
  <c r="D112" i="11"/>
  <c r="C112" i="11"/>
  <c r="N69" i="11"/>
  <c r="I69" i="11"/>
  <c r="G69" i="11"/>
  <c r="F69" i="11"/>
  <c r="E69" i="11"/>
  <c r="D69" i="11"/>
  <c r="C69" i="11"/>
  <c r="N58" i="11"/>
  <c r="D58" i="11"/>
  <c r="C58" i="11"/>
  <c r="N31" i="11"/>
  <c r="F31" i="11"/>
  <c r="D31" i="11"/>
  <c r="C31" i="11"/>
  <c r="O31" i="11" l="1"/>
  <c r="F45" i="11"/>
  <c r="F44" i="11"/>
  <c r="G141" i="11"/>
  <c r="I139" i="11"/>
  <c r="G138" i="11"/>
  <c r="F130" i="11"/>
  <c r="F48" i="11"/>
  <c r="F49" i="11"/>
  <c r="F83" i="11"/>
  <c r="F80" i="11"/>
  <c r="F79" i="11"/>
  <c r="F98" i="11"/>
  <c r="F96" i="11"/>
  <c r="F120" i="11"/>
  <c r="G123" i="11"/>
  <c r="I121" i="11"/>
  <c r="I119" i="11"/>
  <c r="G98" i="11"/>
  <c r="G152" i="11" l="1"/>
  <c r="J163" i="11"/>
  <c r="G112" i="11"/>
  <c r="J162" i="11"/>
  <c r="K163" i="11"/>
  <c r="K141" i="11"/>
  <c r="K161" i="11"/>
  <c r="K169" i="11" s="1"/>
  <c r="J168" i="11"/>
  <c r="H161" i="11"/>
  <c r="J164" i="11"/>
  <c r="J139" i="11"/>
  <c r="J161" i="11"/>
  <c r="K164" i="11"/>
  <c r="H139" i="11"/>
  <c r="H141" i="11"/>
  <c r="K162" i="11"/>
  <c r="K168" i="11"/>
  <c r="H164" i="11"/>
  <c r="O164" i="11" s="1"/>
  <c r="H168" i="11"/>
  <c r="O168" i="11" s="1"/>
  <c r="H163" i="11"/>
  <c r="O163" i="11" s="1"/>
  <c r="H162" i="11"/>
  <c r="O162" i="11" s="1"/>
  <c r="K139" i="11"/>
  <c r="J141" i="11"/>
  <c r="J169" i="11" l="1"/>
  <c r="H169" i="11"/>
  <c r="O169" i="11" s="1"/>
  <c r="O161" i="11"/>
  <c r="O139" i="11"/>
  <c r="O141" i="11"/>
  <c r="F55" i="11" l="1"/>
  <c r="J46" i="11"/>
  <c r="K56" i="11" l="1"/>
  <c r="H57" i="11"/>
  <c r="H56" i="11"/>
  <c r="J56" i="11"/>
  <c r="K46" i="11"/>
  <c r="H46" i="11"/>
  <c r="O46" i="11" l="1"/>
  <c r="O56" i="11"/>
  <c r="I79" i="11" l="1"/>
  <c r="H79" i="11" l="1"/>
  <c r="K79" i="11"/>
  <c r="J79" i="11"/>
  <c r="O79" i="11" l="1"/>
  <c r="K40" i="11" l="1"/>
  <c r="F40" i="11"/>
  <c r="I40" i="11"/>
  <c r="H40" i="11" l="1"/>
  <c r="J40" i="11"/>
  <c r="O40" i="11" l="1"/>
  <c r="I39" i="11" l="1"/>
  <c r="I147" i="11" l="1"/>
  <c r="I143" i="11"/>
  <c r="F143" i="11"/>
  <c r="I140" i="11"/>
  <c r="F140" i="11"/>
  <c r="I138" i="11"/>
  <c r="F138" i="11"/>
  <c r="I136" i="11"/>
  <c r="F136" i="11"/>
  <c r="F135" i="11"/>
  <c r="I134" i="11"/>
  <c r="F134" i="11"/>
  <c r="F132" i="11"/>
  <c r="I130" i="11"/>
  <c r="I128" i="11"/>
  <c r="I125" i="11"/>
  <c r="I120" i="11"/>
  <c r="I118" i="11"/>
  <c r="F111" i="11"/>
  <c r="F110" i="11"/>
  <c r="F109" i="11"/>
  <c r="I106" i="11"/>
  <c r="I105" i="11"/>
  <c r="F104" i="11"/>
  <c r="I103" i="11"/>
  <c r="I75" i="11"/>
  <c r="F75" i="11"/>
  <c r="I102" i="11"/>
  <c r="I101" i="11"/>
  <c r="F101" i="11"/>
  <c r="F76" i="11"/>
  <c r="I100" i="11"/>
  <c r="F99" i="11"/>
  <c r="I77" i="11"/>
  <c r="I98" i="11"/>
  <c r="I96" i="11"/>
  <c r="I85" i="11"/>
  <c r="F85" i="11"/>
  <c r="I83" i="11"/>
  <c r="I80" i="11"/>
  <c r="I55" i="11"/>
  <c r="I52" i="11"/>
  <c r="F52" i="11"/>
  <c r="I51" i="11"/>
  <c r="F51" i="11"/>
  <c r="I50" i="11"/>
  <c r="F50" i="11"/>
  <c r="I49" i="11"/>
  <c r="I48" i="11"/>
  <c r="I38" i="11"/>
  <c r="F38" i="11"/>
  <c r="F58" i="11" s="1"/>
  <c r="I58" i="11" l="1"/>
  <c r="I152" i="11"/>
  <c r="F152" i="11"/>
  <c r="F86" i="11"/>
  <c r="I86" i="11"/>
  <c r="F112" i="11"/>
  <c r="I112" i="11"/>
  <c r="K52" i="11"/>
  <c r="K76" i="11"/>
  <c r="K109" i="11"/>
  <c r="K77" i="11"/>
  <c r="H45" i="11"/>
  <c r="K98" i="11"/>
  <c r="H99" i="11"/>
  <c r="K111" i="11"/>
  <c r="H44" i="11"/>
  <c r="H55" i="11"/>
  <c r="H104" i="11"/>
  <c r="H106" i="11"/>
  <c r="H110" i="11"/>
  <c r="K48" i="11"/>
  <c r="K39" i="11"/>
  <c r="J49" i="11"/>
  <c r="H51" i="11"/>
  <c r="H96" i="11"/>
  <c r="H100" i="11"/>
  <c r="K105" i="11"/>
  <c r="H80" i="11"/>
  <c r="H134" i="11"/>
  <c r="K128" i="11"/>
  <c r="H133" i="11"/>
  <c r="H135" i="11"/>
  <c r="H144" i="11"/>
  <c r="H124" i="11"/>
  <c r="H132" i="11"/>
  <c r="H147" i="11"/>
  <c r="H78" i="11"/>
  <c r="H120" i="11"/>
  <c r="K125" i="11"/>
  <c r="H136" i="11"/>
  <c r="H143" i="11"/>
  <c r="H39" i="11"/>
  <c r="K103" i="11"/>
  <c r="L65" i="11"/>
  <c r="L66" i="11"/>
  <c r="H48" i="11"/>
  <c r="H98" i="11"/>
  <c r="H77" i="11"/>
  <c r="K140" i="11"/>
  <c r="L68" i="11"/>
  <c r="K45" i="11"/>
  <c r="K50" i="11"/>
  <c r="H125" i="11"/>
  <c r="J147" i="11"/>
  <c r="K147" i="11"/>
  <c r="H49" i="11"/>
  <c r="J55" i="11"/>
  <c r="K101" i="11"/>
  <c r="H105" i="11"/>
  <c r="H118" i="11"/>
  <c r="J120" i="11"/>
  <c r="K144" i="11"/>
  <c r="K57" i="11"/>
  <c r="H121" i="11"/>
  <c r="K49" i="11"/>
  <c r="K110" i="11"/>
  <c r="H126" i="11"/>
  <c r="H52" i="11"/>
  <c r="K133" i="11"/>
  <c r="J44" i="11"/>
  <c r="K119" i="11"/>
  <c r="J146" i="11"/>
  <c r="J38" i="11"/>
  <c r="L67" i="11"/>
  <c r="K85" i="11"/>
  <c r="J110" i="11"/>
  <c r="J119" i="11"/>
  <c r="K124" i="11"/>
  <c r="K138" i="11"/>
  <c r="H38" i="11"/>
  <c r="K78" i="11"/>
  <c r="H83" i="11"/>
  <c r="H85" i="11"/>
  <c r="H97" i="11"/>
  <c r="J99" i="11"/>
  <c r="J100" i="11"/>
  <c r="J121" i="11"/>
  <c r="J126" i="11"/>
  <c r="K129" i="11"/>
  <c r="K130" i="11"/>
  <c r="J133" i="11"/>
  <c r="J137" i="11"/>
  <c r="H138" i="11"/>
  <c r="K106" i="11"/>
  <c r="J45" i="11"/>
  <c r="J57" i="11"/>
  <c r="E97" i="11"/>
  <c r="J97" i="11"/>
  <c r="K121" i="11"/>
  <c r="H128" i="11"/>
  <c r="J132" i="11"/>
  <c r="J144" i="11"/>
  <c r="J145" i="11"/>
  <c r="J123" i="11"/>
  <c r="H123" i="11"/>
  <c r="K135" i="11"/>
  <c r="H137" i="11"/>
  <c r="J140" i="11"/>
  <c r="H145" i="11"/>
  <c r="H146" i="11"/>
  <c r="J118" i="11"/>
  <c r="H119" i="11"/>
  <c r="K123" i="11"/>
  <c r="J124" i="11"/>
  <c r="J125" i="11"/>
  <c r="K126" i="11"/>
  <c r="J128" i="11"/>
  <c r="H129" i="11"/>
  <c r="H130" i="11"/>
  <c r="K132" i="11"/>
  <c r="K137" i="11"/>
  <c r="J138" i="11"/>
  <c r="H140" i="11"/>
  <c r="K143" i="11"/>
  <c r="K145" i="11"/>
  <c r="K146" i="11"/>
  <c r="J143" i="11"/>
  <c r="J130" i="11"/>
  <c r="K134" i="11"/>
  <c r="K136" i="11"/>
  <c r="J129" i="11"/>
  <c r="J134" i="11"/>
  <c r="J135" i="11"/>
  <c r="J136" i="11"/>
  <c r="J96" i="11"/>
  <c r="H109" i="11"/>
  <c r="H111" i="11"/>
  <c r="J102" i="11"/>
  <c r="K75" i="11"/>
  <c r="K96" i="11"/>
  <c r="K97" i="11"/>
  <c r="J98" i="11"/>
  <c r="K99" i="11"/>
  <c r="K100" i="11"/>
  <c r="H76" i="11"/>
  <c r="H101" i="11"/>
  <c r="H102" i="11"/>
  <c r="H103" i="11"/>
  <c r="K104" i="11"/>
  <c r="J105" i="11"/>
  <c r="J109" i="11"/>
  <c r="J111" i="11"/>
  <c r="K102" i="11"/>
  <c r="H75" i="11"/>
  <c r="J104" i="11"/>
  <c r="J101" i="11"/>
  <c r="J103" i="11"/>
  <c r="J77" i="11"/>
  <c r="J76" i="11"/>
  <c r="J75" i="11"/>
  <c r="J106" i="11"/>
  <c r="J80" i="11"/>
  <c r="J78" i="11"/>
  <c r="K83" i="11"/>
  <c r="J85" i="11"/>
  <c r="K80" i="11"/>
  <c r="J83" i="11"/>
  <c r="K65" i="11"/>
  <c r="K66" i="11"/>
  <c r="K67" i="11"/>
  <c r="K68" i="11"/>
  <c r="J65" i="11"/>
  <c r="J66" i="11"/>
  <c r="J67" i="11"/>
  <c r="J68" i="11"/>
  <c r="J51" i="11"/>
  <c r="J50" i="11"/>
  <c r="K38" i="11"/>
  <c r="J39" i="11"/>
  <c r="K44" i="11"/>
  <c r="J48" i="11"/>
  <c r="H50" i="11"/>
  <c r="K51" i="11"/>
  <c r="J52" i="11"/>
  <c r="K55" i="11"/>
  <c r="J152" i="11" l="1"/>
  <c r="K152" i="11"/>
  <c r="O152" i="11"/>
  <c r="O38" i="11"/>
  <c r="J69" i="11"/>
  <c r="K69" i="11"/>
  <c r="J86" i="11"/>
  <c r="H86" i="11"/>
  <c r="O96" i="11"/>
  <c r="H152" i="11"/>
  <c r="O118" i="11"/>
  <c r="K86" i="11"/>
  <c r="L69" i="11"/>
  <c r="O130" i="11"/>
  <c r="E112" i="11"/>
  <c r="K112" i="11"/>
  <c r="J112" i="11"/>
  <c r="H112" i="11"/>
  <c r="O57" i="11"/>
  <c r="O99" i="11"/>
  <c r="O78" i="11"/>
  <c r="O100" i="11"/>
  <c r="O76" i="11"/>
  <c r="O125" i="11"/>
  <c r="O75" i="11"/>
  <c r="O119" i="11"/>
  <c r="O105" i="11"/>
  <c r="O133" i="11"/>
  <c r="O137" i="11"/>
  <c r="O77" i="11"/>
  <c r="O145" i="11"/>
  <c r="O101" i="11"/>
  <c r="O55" i="11"/>
  <c r="O103" i="11"/>
  <c r="O98" i="11"/>
  <c r="O106" i="11"/>
  <c r="O50" i="11"/>
  <c r="O144" i="11"/>
  <c r="O97" i="11"/>
  <c r="O104" i="11"/>
  <c r="O45" i="11"/>
  <c r="O51" i="11"/>
  <c r="O109" i="11"/>
  <c r="O111" i="11"/>
  <c r="O102" i="11"/>
  <c r="O126" i="11"/>
  <c r="O110" i="11"/>
  <c r="O39" i="11"/>
  <c r="O44" i="11"/>
  <c r="O68" i="11"/>
  <c r="O132" i="11"/>
  <c r="O140" i="11"/>
  <c r="O48" i="11"/>
  <c r="O52" i="11"/>
  <c r="O143" i="11"/>
  <c r="O146" i="11"/>
  <c r="O134" i="11"/>
  <c r="O124" i="11"/>
  <c r="O135" i="11"/>
  <c r="O138" i="11"/>
  <c r="O83" i="11"/>
  <c r="O129" i="11"/>
  <c r="O120" i="11"/>
  <c r="O128" i="11"/>
  <c r="O85" i="11"/>
  <c r="O80" i="11"/>
  <c r="O123" i="11"/>
  <c r="O121" i="11"/>
  <c r="O147" i="11"/>
  <c r="O136" i="11"/>
  <c r="O49" i="11"/>
  <c r="O65" i="11"/>
  <c r="O66" i="11"/>
  <c r="O67" i="11"/>
  <c r="O86" i="11" l="1"/>
  <c r="O112" i="11"/>
  <c r="E5" i="8" s="1"/>
  <c r="O69" i="11"/>
  <c r="C5" i="8"/>
  <c r="D5" i="8" l="1"/>
  <c r="C7" i="8" l="1"/>
  <c r="C117" i="8" s="1"/>
  <c r="G8" i="1" l="1"/>
  <c r="G30" i="1" s="1"/>
  <c r="B7" i="8" l="1"/>
  <c r="B117" i="8" l="1"/>
  <c r="B125" i="8" s="1"/>
  <c r="E7" i="8"/>
  <c r="E117" i="8" s="1"/>
  <c r="F119" i="8" l="1"/>
  <c r="C119" i="8"/>
  <c r="D7" i="8"/>
  <c r="D117" i="8" s="1"/>
  <c r="E119" i="8" l="1"/>
  <c r="D119" i="8"/>
  <c r="B119" i="8" l="1"/>
  <c r="G119" i="8"/>
  <c r="B121" i="8" l="1"/>
  <c r="D121" i="8" l="1"/>
  <c r="C121" i="8"/>
  <c r="E121" i="8"/>
  <c r="C28" i="1" l="1"/>
  <c r="F28" i="1"/>
  <c r="D28" i="1"/>
  <c r="E28" i="1"/>
  <c r="F30" i="1" l="1"/>
  <c r="F123" i="8" s="1"/>
  <c r="E30" i="1"/>
  <c r="E123" i="8" s="1"/>
  <c r="E125" i="8" s="1"/>
  <c r="D30" i="1"/>
  <c r="C30" i="1"/>
  <c r="C123" i="8" s="1"/>
  <c r="D123" i="8" l="1"/>
  <c r="D125" i="8" s="1"/>
  <c r="C125" i="8"/>
  <c r="G123" i="8" l="1"/>
  <c r="H47" i="11"/>
  <c r="H58" i="11" s="1"/>
  <c r="K47" i="11"/>
  <c r="K58" i="11" s="1"/>
  <c r="J47" i="11"/>
  <c r="O47" i="11" l="1"/>
  <c r="J58" i="11"/>
  <c r="O58" i="11" s="1"/>
  <c r="F5" i="8" l="1"/>
  <c r="F7" i="8" l="1"/>
  <c r="F117" i="8" s="1"/>
  <c r="G5" i="8"/>
  <c r="G7" i="8" s="1"/>
  <c r="G117" i="8" l="1"/>
  <c r="L69" i="8"/>
  <c r="F121" i="8"/>
  <c r="F125" i="8"/>
  <c r="G125" i="8" l="1"/>
  <c r="K119" i="8"/>
  <c r="G121" i="8"/>
</calcChain>
</file>

<file path=xl/sharedStrings.xml><?xml version="1.0" encoding="utf-8"?>
<sst xmlns="http://schemas.openxmlformats.org/spreadsheetml/2006/main" count="934" uniqueCount="411">
  <si>
    <t>TOTALS</t>
  </si>
  <si>
    <t>Council</t>
  </si>
  <si>
    <t>Department</t>
  </si>
  <si>
    <t>Salaries</t>
  </si>
  <si>
    <t>Printing &amp; Stationery</t>
  </si>
  <si>
    <t>Congress &amp; Seminars</t>
  </si>
  <si>
    <t>Furniture and Office Equipment</t>
  </si>
  <si>
    <t>Postage</t>
  </si>
  <si>
    <t>Travel &amp; Subsistence</t>
  </si>
  <si>
    <t>Water &amp; Electricity</t>
  </si>
  <si>
    <t>Sundry Expenses</t>
  </si>
  <si>
    <t>Entertainment Council</t>
  </si>
  <si>
    <t>Entertainment Mayor</t>
  </si>
  <si>
    <t>Entertainment Speaker</t>
  </si>
  <si>
    <t>Fuel For Vehicles</t>
  </si>
  <si>
    <t>Telephone Expenses</t>
  </si>
  <si>
    <t>Licensing for Vehicles</t>
  </si>
  <si>
    <t>District Aids Council</t>
  </si>
  <si>
    <t>Repairs &amp; Maintenance - F&amp;E</t>
  </si>
  <si>
    <t>Repairs &amp; Maintenance - Vehicles</t>
  </si>
  <si>
    <t>Public Participation</t>
  </si>
  <si>
    <t>Youth Development Programmes</t>
  </si>
  <si>
    <t>Special Programmes</t>
  </si>
  <si>
    <t>Advertisements</t>
  </si>
  <si>
    <t>Audit Fees</t>
  </si>
  <si>
    <t>Insurance</t>
  </si>
  <si>
    <t>Property Rates</t>
  </si>
  <si>
    <t>Training</t>
  </si>
  <si>
    <t>Study Aids</t>
  </si>
  <si>
    <t>Office of the Municipal Manager</t>
  </si>
  <si>
    <t>Disaster Management Contributions</t>
  </si>
  <si>
    <t>IDP Review</t>
  </si>
  <si>
    <t>LED and Marketing Brochures</t>
  </si>
  <si>
    <t>OR Tambo Games</t>
  </si>
  <si>
    <t xml:space="preserve">Health &amp; Hygiene Education </t>
  </si>
  <si>
    <t>Bank Charges</t>
  </si>
  <si>
    <t>DIFFERENCE</t>
  </si>
  <si>
    <t>LED Projects</t>
  </si>
  <si>
    <t>Audit Committee</t>
  </si>
  <si>
    <t>DEPARTMENTS / BUDGET ITEMS</t>
  </si>
  <si>
    <t>Municipal Manager</t>
  </si>
  <si>
    <t>Corporate Services</t>
  </si>
  <si>
    <t>Planning &amp; Dev.</t>
  </si>
  <si>
    <t>Budget &amp; Treasury</t>
  </si>
  <si>
    <t>TOTAL SALARIES</t>
  </si>
  <si>
    <t>Interest and Penalties</t>
  </si>
  <si>
    <t>Legal Costs</t>
  </si>
  <si>
    <t>Salga Membership Fees</t>
  </si>
  <si>
    <t>Entertainment Municipal Manager</t>
  </si>
  <si>
    <t>Entertainment Corporate Services Director</t>
  </si>
  <si>
    <t>Entertainment Planning &amp; Dev. Director</t>
  </si>
  <si>
    <t>Entertainment BTO Director</t>
  </si>
  <si>
    <t>Study Assistance</t>
  </si>
  <si>
    <t>Disciplinary Hearings</t>
  </si>
  <si>
    <t xml:space="preserve"> Subscriptions </t>
  </si>
  <si>
    <t>TOTAL GENERAL EXPENSES</t>
  </si>
  <si>
    <t>Repairs &amp; Maintenance - Computers</t>
  </si>
  <si>
    <t>Repairs &amp; Maintenance - Telephone</t>
  </si>
  <si>
    <t>TOTAL REPAIRS &amp; MAINTENANCE</t>
  </si>
  <si>
    <t xml:space="preserve"> IGR </t>
  </si>
  <si>
    <t xml:space="preserve"> Social Responsibility Fund </t>
  </si>
  <si>
    <t xml:space="preserve"> Mandela Day </t>
  </si>
  <si>
    <t>Municipal Systems Improvement Grant</t>
  </si>
  <si>
    <t>Financial Management Grant</t>
  </si>
  <si>
    <t xml:space="preserve">TOTAL PROJECTS </t>
  </si>
  <si>
    <t xml:space="preserve"> Furniture and Equipment </t>
  </si>
  <si>
    <t xml:space="preserve"> Computers and Laptops </t>
  </si>
  <si>
    <t>Provincial Infrastructure Grant</t>
  </si>
  <si>
    <t>TOTAL CAPITAL EXPENDITURE</t>
  </si>
  <si>
    <t>REVENUE ALLOCATIONS</t>
  </si>
  <si>
    <t>Interest:</t>
  </si>
  <si>
    <t>Interest on Current Account</t>
  </si>
  <si>
    <t>Interest on Investments</t>
  </si>
  <si>
    <t>SUB TOTAL</t>
  </si>
  <si>
    <t>Rentals of Facilities:</t>
  </si>
  <si>
    <t>Other Income:</t>
  </si>
  <si>
    <t>Parking Bays</t>
  </si>
  <si>
    <t>Tender Document Fees</t>
  </si>
  <si>
    <t>Equitable Share</t>
  </si>
  <si>
    <t>Financial Assistance Grant</t>
  </si>
  <si>
    <t>TOTAL REVENUE</t>
  </si>
  <si>
    <t>TOTAL AS PER EXP. PER UNIT</t>
  </si>
  <si>
    <t>LED Trainings</t>
  </si>
  <si>
    <t>Environmental Health Projects</t>
  </si>
  <si>
    <t>Cleaning Materials</t>
  </si>
  <si>
    <t>Financial Statements</t>
  </si>
  <si>
    <t>DEPARTMENT</t>
  </si>
  <si>
    <t>AMOUNT</t>
  </si>
  <si>
    <t>PROJECT DESCRIPTION</t>
  </si>
  <si>
    <t>EPWP Incentive Grant</t>
  </si>
  <si>
    <t xml:space="preserve"> District Forums</t>
  </si>
  <si>
    <t>Expanded Public Works Programme Incentive Grant</t>
  </si>
  <si>
    <t xml:space="preserve"> GRAND TOTAL </t>
  </si>
  <si>
    <t>Sewage and Refuse</t>
  </si>
  <si>
    <t>Interest on car loans</t>
  </si>
  <si>
    <t>Repayment of borrowings</t>
  </si>
  <si>
    <t>Depreciation</t>
  </si>
  <si>
    <t>Finance Lease costs</t>
  </si>
  <si>
    <t>MSIG</t>
  </si>
  <si>
    <t>Intranet</t>
  </si>
  <si>
    <t>Disaster Management Plan</t>
  </si>
  <si>
    <t>Disaster Conference</t>
  </si>
  <si>
    <t xml:space="preserve">Environmental Health </t>
  </si>
  <si>
    <t>ISP Premiums</t>
  </si>
  <si>
    <t>Interest on Electricity deposit</t>
  </si>
  <si>
    <t>Budget and Treasury Office</t>
  </si>
  <si>
    <t>General Council</t>
  </si>
  <si>
    <t>Planning and Development</t>
  </si>
  <si>
    <t>TOTAL PROJECTS</t>
  </si>
  <si>
    <t>Provision for Doubtful debts</t>
  </si>
  <si>
    <t>Communication strategy</t>
  </si>
  <si>
    <t>Promotion/ Marketing</t>
  </si>
  <si>
    <t>Land</t>
  </si>
  <si>
    <t>Interest Paid</t>
  </si>
  <si>
    <t>Salaries &amp;</t>
  </si>
  <si>
    <t>Travelling</t>
  </si>
  <si>
    <t>Housing</t>
  </si>
  <si>
    <t>Cellphone</t>
  </si>
  <si>
    <t>Medical</t>
  </si>
  <si>
    <t xml:space="preserve">Pension </t>
  </si>
  <si>
    <t>Bonuses</t>
  </si>
  <si>
    <t>Sitting</t>
  </si>
  <si>
    <t>SDL</t>
  </si>
  <si>
    <t>Total</t>
  </si>
  <si>
    <t>Allowance</t>
  </si>
  <si>
    <t>Scheme</t>
  </si>
  <si>
    <t>Fund</t>
  </si>
  <si>
    <t>Jafta NS</t>
  </si>
  <si>
    <t>Khotlele MM</t>
  </si>
  <si>
    <t>Dibe PM</t>
  </si>
  <si>
    <t>Mohapi MJ</t>
  </si>
  <si>
    <t>Modise GM</t>
  </si>
  <si>
    <t>Sehanka MJ</t>
  </si>
  <si>
    <t>Mehlomakulu NI</t>
  </si>
  <si>
    <t>Spochter NC</t>
  </si>
  <si>
    <t>Shebe H</t>
  </si>
  <si>
    <t>Sola SA</t>
  </si>
  <si>
    <t>Makitle JJ</t>
  </si>
  <si>
    <t>Mothupi MJ</t>
  </si>
  <si>
    <t>Van Rensburg AJ</t>
  </si>
  <si>
    <t>Ntwanambi MG</t>
  </si>
  <si>
    <t>Mona AV</t>
  </si>
  <si>
    <t>Sehloho ML</t>
  </si>
  <si>
    <t>Management</t>
  </si>
  <si>
    <t>Acting</t>
  </si>
  <si>
    <t>Leave</t>
  </si>
  <si>
    <t>Provident</t>
  </si>
  <si>
    <t>UIF</t>
  </si>
  <si>
    <t>SALGBC</t>
  </si>
  <si>
    <t>Provision</t>
  </si>
  <si>
    <t>Kubeka MM</t>
  </si>
  <si>
    <t>Secretary to CFO</t>
  </si>
  <si>
    <t>Manager: SCM</t>
  </si>
  <si>
    <t>SCM Practitioner</t>
  </si>
  <si>
    <t>Administrator: Payroll</t>
  </si>
  <si>
    <t>Manager: Expenditure &amp; Payroll</t>
  </si>
  <si>
    <t>Accountant Payroll</t>
  </si>
  <si>
    <t>Accountant Expenditure</t>
  </si>
  <si>
    <t>Accountant SCM</t>
  </si>
  <si>
    <t>Accountant: Assets and Budget</t>
  </si>
  <si>
    <t>Accountant: Revenue, Reporting and Compliance</t>
  </si>
  <si>
    <t xml:space="preserve">Administrator: Assets </t>
  </si>
  <si>
    <t>Budget and Treasury Office Interns</t>
  </si>
  <si>
    <t>Maroba LM</t>
  </si>
  <si>
    <t>allowance</t>
  </si>
  <si>
    <t>Planning and Social Development</t>
  </si>
  <si>
    <t>Aid</t>
  </si>
  <si>
    <t>Corporate Services Department</t>
  </si>
  <si>
    <t xml:space="preserve">Provident </t>
  </si>
  <si>
    <t>Vacant (General Assistant)</t>
  </si>
  <si>
    <t>bonus</t>
  </si>
  <si>
    <t>13th cheque</t>
  </si>
  <si>
    <t>Long service</t>
  </si>
  <si>
    <t>salaries&amp;allowances</t>
  </si>
  <si>
    <t xml:space="preserve">contributions to other </t>
  </si>
  <si>
    <t>Repairs</t>
  </si>
  <si>
    <t>consultants fees</t>
  </si>
  <si>
    <t xml:space="preserve">consultants fees </t>
  </si>
  <si>
    <t>audit fees</t>
  </si>
  <si>
    <t>general expenses</t>
  </si>
  <si>
    <t>capital expenditure</t>
  </si>
  <si>
    <t>consultants fees (MM,BTO)</t>
  </si>
  <si>
    <t>operating budget</t>
  </si>
  <si>
    <t>Days</t>
  </si>
  <si>
    <t>Administrator: SCM</t>
  </si>
  <si>
    <t>Senior Expenditure and Creditors Clerk</t>
  </si>
  <si>
    <t>Administrator: VAT and Creditors</t>
  </si>
  <si>
    <t>Administrator: Revenue, Reporting and Compliance</t>
  </si>
  <si>
    <t>Administrator: PMS</t>
  </si>
  <si>
    <t>Manager: Monitoring and Performance Management</t>
  </si>
  <si>
    <t>Chief Risk Officer</t>
  </si>
  <si>
    <t>Manager: Internal Audit</t>
  </si>
  <si>
    <t>Communication Officer</t>
  </si>
  <si>
    <t>Internal Auditor</t>
  </si>
  <si>
    <t>Manager: Development Planning</t>
  </si>
  <si>
    <t>IDP Officer</t>
  </si>
  <si>
    <t>Manager: Economic Development</t>
  </si>
  <si>
    <t>Manager: Disaster Management</t>
  </si>
  <si>
    <t>Senior Data Capturer: IDP</t>
  </si>
  <si>
    <t>Secretary to Director</t>
  </si>
  <si>
    <t>Senior Data Capturer: Disaster Management</t>
  </si>
  <si>
    <t>Disaster Management Coordinator</t>
  </si>
  <si>
    <t>Manager: Municipal Health</t>
  </si>
  <si>
    <t>Senior Data Capturer: Municipal Health</t>
  </si>
  <si>
    <t>LED Coordinator</t>
  </si>
  <si>
    <t>Administrative Officer:LED</t>
  </si>
  <si>
    <t>Manager: Administration</t>
  </si>
  <si>
    <t>Facility Management Officer</t>
  </si>
  <si>
    <t>Receptionist</t>
  </si>
  <si>
    <t>HR Clerk</t>
  </si>
  <si>
    <t>Remuneration and Benefits Officer</t>
  </si>
  <si>
    <t>HR Officer</t>
  </si>
  <si>
    <t>Senior Records Management Administrator</t>
  </si>
  <si>
    <t>Skills Development Facilitator</t>
  </si>
  <si>
    <t>Public Liason Officer</t>
  </si>
  <si>
    <t>IT Manager</t>
  </si>
  <si>
    <t>Labour Relations Officer</t>
  </si>
  <si>
    <t>Driver to the Mayor</t>
  </si>
  <si>
    <t>PA to the Speaker</t>
  </si>
  <si>
    <t>Public Participation Officer</t>
  </si>
  <si>
    <t>Secretary to the Speaker</t>
  </si>
  <si>
    <t>Special Programmes Officer</t>
  </si>
  <si>
    <t>Driver to the Speaker</t>
  </si>
  <si>
    <t>Manager: Human Resource</t>
  </si>
  <si>
    <t>Corporate Department (Contract)</t>
  </si>
  <si>
    <t>Summary of Votes</t>
  </si>
  <si>
    <t>Surname</t>
  </si>
  <si>
    <t>Leave pay</t>
  </si>
  <si>
    <t>Long</t>
  </si>
  <si>
    <t>&amp; Initials</t>
  </si>
  <si>
    <t>Service Bonus</t>
  </si>
  <si>
    <t>HR Information Officer</t>
  </si>
  <si>
    <t>IT Officer</t>
  </si>
  <si>
    <t>Network Admistrator</t>
  </si>
  <si>
    <t>Records Management Administrator</t>
  </si>
  <si>
    <t>Intergovermental Relations Officer</t>
  </si>
  <si>
    <t>Youth Development Officer</t>
  </si>
  <si>
    <t>PA to the Mayor</t>
  </si>
  <si>
    <t>Personal Assistant</t>
  </si>
  <si>
    <t xml:space="preserve">Councillors Department </t>
  </si>
  <si>
    <t>Environmental Health Practioner(de jager)</t>
  </si>
  <si>
    <t>LED Officer(puleng)</t>
  </si>
  <si>
    <t>LED Officer(kele)</t>
  </si>
  <si>
    <t>Environmental Health Practioner(de vries)</t>
  </si>
  <si>
    <t>Driver(Ntlati)</t>
  </si>
  <si>
    <t>Driver(kraai)</t>
  </si>
  <si>
    <t>Maintenance Assistant(jerry)</t>
  </si>
  <si>
    <t>Administrative Officer(ntombi)</t>
  </si>
  <si>
    <t>General Assistant(Kele)</t>
  </si>
  <si>
    <t>Maintenance Assistant(Twalfie)</t>
  </si>
  <si>
    <t>Administrative Officer(Success)</t>
  </si>
  <si>
    <t>General Assistant(Sello)</t>
  </si>
  <si>
    <t>General Assistant(retyu)</t>
  </si>
  <si>
    <t>General Assistant(makhetha)</t>
  </si>
  <si>
    <t>Maintenance Assistant(Zimu)</t>
  </si>
  <si>
    <t>Senior Clerk: Records(morongwe)</t>
  </si>
  <si>
    <t>Senior Clerk: Records(jahman)</t>
  </si>
  <si>
    <t>LED Feasibility Studies</t>
  </si>
  <si>
    <t xml:space="preserve"> Manager: Communication </t>
  </si>
  <si>
    <t>Tourism Officer</t>
  </si>
  <si>
    <t>LED &amp; Tourism Clerk</t>
  </si>
  <si>
    <t>Senior Data Capture</t>
  </si>
  <si>
    <t>Driver</t>
  </si>
  <si>
    <t>LIST OF BUDGETED PROJECTS FOR THE 2013/2014 FINANCIAL YEAR</t>
  </si>
  <si>
    <t xml:space="preserve">MSIG </t>
  </si>
  <si>
    <t>Compilation of AFS 2012/13</t>
  </si>
  <si>
    <t>FA Contribution /Motor Vehicle</t>
  </si>
  <si>
    <t>MSIG (ICT Master Planning)</t>
  </si>
  <si>
    <t xml:space="preserve"> MSIG ( Internal Audit Software)</t>
  </si>
  <si>
    <t>Manager: Engineering Services</t>
  </si>
  <si>
    <t>Profiling of roads in the district (RRAMS)</t>
  </si>
  <si>
    <t>Professional Services</t>
  </si>
  <si>
    <t xml:space="preserve">Long Service List </t>
  </si>
  <si>
    <t>Xhariep District Municipality</t>
  </si>
  <si>
    <t>Surnames &amp; Initials</t>
  </si>
  <si>
    <t>Gross/Basic Salary</t>
  </si>
  <si>
    <t>Date of Engagement</t>
  </si>
  <si>
    <t>Amounts Payable</t>
  </si>
  <si>
    <t xml:space="preserve">Deeuw TF </t>
  </si>
  <si>
    <t>Corporate Department</t>
  </si>
  <si>
    <t>Moloi MI</t>
  </si>
  <si>
    <t>Planning &amp; Development Social Development</t>
  </si>
  <si>
    <t xml:space="preserve">Mkololo DC </t>
  </si>
  <si>
    <t>Already received</t>
  </si>
  <si>
    <t xml:space="preserve">Koaeng DL </t>
  </si>
  <si>
    <t>Mofokeng PA</t>
  </si>
  <si>
    <t>She started on  Contract in 2008</t>
  </si>
  <si>
    <t>Ntsane DW</t>
  </si>
  <si>
    <t xml:space="preserve"> Mothibi J</t>
  </si>
  <si>
    <t>Year of qualifiying</t>
  </si>
  <si>
    <t>Not qualifiying year</t>
  </si>
  <si>
    <t>HR Software</t>
  </si>
  <si>
    <t>Electric fence (installation)</t>
  </si>
  <si>
    <t>XDM Community Benefits Events</t>
  </si>
  <si>
    <t>Support for SMME'S</t>
  </si>
  <si>
    <t>Maintenance Of Internal Streets(RRAMS)</t>
  </si>
  <si>
    <t>Disaster Traininig</t>
  </si>
  <si>
    <t>Disaster Management Centre</t>
  </si>
  <si>
    <t>Outsourcing of security</t>
  </si>
  <si>
    <t xml:space="preserve">Consulting fees </t>
  </si>
  <si>
    <t>Repairs &amp; Maintenance - Security System</t>
  </si>
  <si>
    <t>Repairs &amp; Maintenace - Generator</t>
  </si>
  <si>
    <t>Reapirs &amp; Maintence - Document Management System</t>
  </si>
  <si>
    <t>Accommodation-BTO</t>
  </si>
  <si>
    <t>Naledi</t>
  </si>
  <si>
    <t>Electric Fence</t>
  </si>
  <si>
    <t>Fixed Assets</t>
  </si>
  <si>
    <t>Repairs &amp; Maintenance -website</t>
  </si>
  <si>
    <t>Repairs &amp; Maintenance - Arts &amp; Crafts Machine</t>
  </si>
  <si>
    <t>Repairs &amp; Maintenance-Building</t>
  </si>
  <si>
    <t>Repairs &amp; Maintenance -Elecgtric Fence</t>
  </si>
  <si>
    <t>Compilation of AFS</t>
  </si>
  <si>
    <t>Environmental Health Practioner(portia)</t>
  </si>
  <si>
    <t xml:space="preserve"> Motor Vehicles</t>
  </si>
  <si>
    <t>Manager:Revenue, Budget and Assets</t>
  </si>
  <si>
    <t>Manager: Reporting and Compliance</t>
  </si>
  <si>
    <t>Administrator: Payroll(Kula)</t>
  </si>
  <si>
    <t>Environmental Health Practioner(seepamore)</t>
  </si>
  <si>
    <t>Masheane NC</t>
  </si>
  <si>
    <t>Kakana DS</t>
  </si>
  <si>
    <t>Koalepe MM</t>
  </si>
  <si>
    <t>Rapiri P</t>
  </si>
  <si>
    <t>Mohale MS</t>
  </si>
  <si>
    <t>Mashiane L</t>
  </si>
  <si>
    <t>Executive Secretary(baby)</t>
  </si>
  <si>
    <t>SDF(Zinza)</t>
  </si>
  <si>
    <t>Manager:Legal Services and Executive Support</t>
  </si>
  <si>
    <t>REVENUE ALLOCATION</t>
  </si>
  <si>
    <t>Rural Roads and Asset Management Grant</t>
  </si>
  <si>
    <t>Grants:</t>
  </si>
  <si>
    <t>Social Responsibility Fund</t>
  </si>
  <si>
    <t>District AIDS Council</t>
  </si>
  <si>
    <t>Special Programs</t>
  </si>
  <si>
    <t>Intergovental Relations</t>
  </si>
  <si>
    <t>Tourism Marketing and Development</t>
  </si>
  <si>
    <t xml:space="preserve">Support for SMME's </t>
  </si>
  <si>
    <t>LED Projects (EPWP &amp; Arts and crafts centre)</t>
  </si>
  <si>
    <t>District Forums</t>
  </si>
  <si>
    <t>IDP review</t>
  </si>
  <si>
    <t xml:space="preserve"> Furniture and Equipment</t>
  </si>
  <si>
    <t xml:space="preserve">Printing of IDP Booklets </t>
  </si>
  <si>
    <t>Environmental  Mgmt Project</t>
  </si>
  <si>
    <t>MSIG Grant</t>
  </si>
  <si>
    <t>Income Split</t>
  </si>
  <si>
    <t>EQUITABLE SHARE</t>
  </si>
  <si>
    <t xml:space="preserve">Cost </t>
  </si>
  <si>
    <t>Employees</t>
  </si>
  <si>
    <t>Amount of</t>
  </si>
  <si>
    <t>Codes</t>
  </si>
  <si>
    <t>Per Dept</t>
  </si>
  <si>
    <t>Invoice</t>
  </si>
  <si>
    <t>Councillors</t>
  </si>
  <si>
    <t>050</t>
  </si>
  <si>
    <t>PSD</t>
  </si>
  <si>
    <t>B.T.O</t>
  </si>
  <si>
    <t>FINANCIAL ASSISTANCE</t>
  </si>
  <si>
    <t>Rental Income- Kopanong</t>
  </si>
  <si>
    <t>Rental Income- Auditorium and Kitchen</t>
  </si>
  <si>
    <t>XHARIEP DISTRICT MUNICIPALITY'S FINAL ANNUAL BUDGET FOR 2014/2015</t>
  </si>
  <si>
    <t>Tourism Marketing and development</t>
  </si>
  <si>
    <t>TOTALS with 1500000</t>
  </si>
  <si>
    <t>TOTALS with 30000000</t>
  </si>
  <si>
    <t>Environmental Health Practioner(lehlohonolo)Vacant</t>
  </si>
  <si>
    <t>Director Corporate Services</t>
  </si>
  <si>
    <t>WATER AND ELECTRICITY</t>
  </si>
  <si>
    <t>TELEPHONE</t>
  </si>
  <si>
    <t>HR</t>
  </si>
  <si>
    <t>PS</t>
  </si>
  <si>
    <t>ADMIN</t>
  </si>
  <si>
    <t>IT</t>
  </si>
  <si>
    <t>Corporate SPLIT INCOME</t>
  </si>
  <si>
    <t>Corporate SPLIT EXP</t>
  </si>
  <si>
    <t>COUNCILSPLIT EXP</t>
  </si>
  <si>
    <t>COUNCILSPLIT INCOME</t>
  </si>
  <si>
    <t>Mayor</t>
  </si>
  <si>
    <t>Speaker</t>
  </si>
  <si>
    <t>Speker</t>
  </si>
  <si>
    <t>Concil</t>
  </si>
  <si>
    <t>MM SPLIT INCOME</t>
  </si>
  <si>
    <t>MM SPLIT EXP</t>
  </si>
  <si>
    <t>MM</t>
  </si>
  <si>
    <t>IA</t>
  </si>
  <si>
    <t>PMS</t>
  </si>
  <si>
    <t>RISK</t>
  </si>
  <si>
    <t>DISASTER</t>
  </si>
  <si>
    <t>PD SPLIT INCOME</t>
  </si>
  <si>
    <t>PD SPLIT EXP</t>
  </si>
  <si>
    <t>DIRECTOR</t>
  </si>
  <si>
    <t>LED</t>
  </si>
  <si>
    <t>IDP</t>
  </si>
  <si>
    <t>EHP</t>
  </si>
  <si>
    <t>BTO SPLIT INCOME</t>
  </si>
  <si>
    <t>BTO SPLIT EXP</t>
  </si>
  <si>
    <t>CFO</t>
  </si>
  <si>
    <t>SCM</t>
  </si>
  <si>
    <t>EXP</t>
  </si>
  <si>
    <t>BR</t>
  </si>
  <si>
    <t>FMG</t>
  </si>
  <si>
    <t>Financial system licence fees</t>
  </si>
  <si>
    <t>Backup Services</t>
  </si>
  <si>
    <t>Antivirus,Languard and Webmonitor</t>
  </si>
  <si>
    <t>Cabling &amp; Hardware Cabinet  Cleanup</t>
  </si>
  <si>
    <t>Fire Extinguisher Repairs And Maintanance</t>
  </si>
  <si>
    <t>Leanerships</t>
  </si>
  <si>
    <t>Speakers Vehicle</t>
  </si>
  <si>
    <t>ISP Premiums and back up services</t>
  </si>
  <si>
    <t>Repayment of borrowings(Printing Machines)</t>
  </si>
  <si>
    <t>Volume licencing</t>
  </si>
  <si>
    <t>Finance Management Grant/Mayor  Car claim</t>
  </si>
  <si>
    <t>Mayors Vehicle</t>
  </si>
  <si>
    <t>Insurance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</si>
</sst>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&quot;\ #,##0;[Red]&quot;R&quot;\ \-#,##0"/>
    <numFmt numFmtId="165" formatCode="&quot;R&quot;\ #,##0.00;[Red]&quot;R&quot;\ \-#,##0.00"/>
    <numFmt numFmtId="166" formatCode="_ * #,##0.00_ ;_ * \-#,##0.00_ ;_ * &quot;-&quot;??_ ;_ @_ "/>
    <numFmt numFmtId="167" formatCode="_ * #,##0_ ;_ * \-#,##0_ ;_ * &quot;-&quot;??_ ;_ @_ "/>
    <numFmt numFmtId="168" formatCode="_ * #,##0.0_ ;_ * \-#,##0.0_ ;_ * &quot;-&quot;??_ ;_ @_ "/>
    <numFmt numFmtId="169" formatCode="0.00;[Red]0.00"/>
    <numFmt numFmtId="170" formatCode="_(* #,##0,_);_(* \(#,##0,\);_(* &quot;–&quot;?_);_(@_)"/>
    <numFmt numFmtId="171" formatCode="&quot;R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hit Hindi"/>
      <family val="2"/>
    </font>
    <font>
      <sz val="8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color rgb="FFFF000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mbria"/>
      <family val="1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0"/>
      <name val="Cambria"/>
      <family val="1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B0F0"/>
      <name val="Arial"/>
      <family val="2"/>
    </font>
    <font>
      <sz val="8"/>
      <color indexed="1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Garamond"/>
      <family val="1"/>
    </font>
    <font>
      <b/>
      <sz val="10"/>
      <name val="Arial"/>
      <family val="2"/>
    </font>
    <font>
      <b/>
      <sz val="10"/>
      <color rgb="FFC00000"/>
      <name val="Cambria"/>
      <family val="1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07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166" fontId="0" fillId="0" borderId="0" xfId="1" applyFont="1" applyFill="1"/>
    <xf numFmtId="166" fontId="0" fillId="0" borderId="0" xfId="0" applyNumberFormat="1"/>
    <xf numFmtId="166" fontId="0" fillId="0" borderId="0" xfId="1" applyFont="1"/>
    <xf numFmtId="0" fontId="8" fillId="0" borderId="0" xfId="0" applyFont="1"/>
    <xf numFmtId="0" fontId="8" fillId="0" borderId="0" xfId="0" applyFont="1" applyAlignment="1">
      <alignment horizontal="justify"/>
    </xf>
    <xf numFmtId="0" fontId="10" fillId="0" borderId="15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17" xfId="0" applyFont="1" applyBorder="1"/>
    <xf numFmtId="0" fontId="8" fillId="0" borderId="18" xfId="0" applyFont="1" applyBorder="1"/>
    <xf numFmtId="0" fontId="9" fillId="3" borderId="15" xfId="0" applyFont="1" applyFill="1" applyBorder="1"/>
    <xf numFmtId="0" fontId="9" fillId="3" borderId="16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18" xfId="0" applyFont="1" applyBorder="1"/>
    <xf numFmtId="0" fontId="11" fillId="4" borderId="17" xfId="0" applyFont="1" applyFill="1" applyBorder="1"/>
    <xf numFmtId="3" fontId="9" fillId="0" borderId="0" xfId="0" applyNumberFormat="1" applyFont="1" applyAlignment="1">
      <alignment horizontal="right"/>
    </xf>
    <xf numFmtId="0" fontId="11" fillId="0" borderId="0" xfId="0" applyFont="1" applyFill="1" applyBorder="1"/>
    <xf numFmtId="0" fontId="9" fillId="0" borderId="0" xfId="0" applyFont="1" applyBorder="1"/>
    <xf numFmtId="3" fontId="8" fillId="0" borderId="0" xfId="0" applyNumberFormat="1" applyFont="1"/>
    <xf numFmtId="3" fontId="8" fillId="0" borderId="18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167" fontId="11" fillId="0" borderId="18" xfId="0" applyNumberFormat="1" applyFont="1" applyBorder="1" applyAlignment="1">
      <alignment horizontal="right"/>
    </xf>
    <xf numFmtId="167" fontId="14" fillId="0" borderId="18" xfId="0" applyNumberFormat="1" applyFont="1" applyBorder="1" applyAlignment="1">
      <alignment horizontal="right"/>
    </xf>
    <xf numFmtId="0" fontId="11" fillId="0" borderId="0" xfId="0" applyFont="1" applyBorder="1"/>
    <xf numFmtId="3" fontId="11" fillId="0" borderId="0" xfId="0" applyNumberFormat="1" applyFont="1" applyBorder="1" applyAlignment="1">
      <alignment horizontal="right"/>
    </xf>
    <xf numFmtId="167" fontId="11" fillId="0" borderId="0" xfId="0" applyNumberFormat="1" applyFont="1" applyBorder="1" applyAlignment="1">
      <alignment horizontal="right"/>
    </xf>
    <xf numFmtId="167" fontId="14" fillId="0" borderId="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9" fillId="5" borderId="17" xfId="0" applyFont="1" applyFill="1" applyBorder="1"/>
    <xf numFmtId="167" fontId="0" fillId="0" borderId="0" xfId="0" applyNumberFormat="1"/>
    <xf numFmtId="0" fontId="16" fillId="0" borderId="0" xfId="0" applyFont="1"/>
    <xf numFmtId="0" fontId="2" fillId="0" borderId="0" xfId="0" applyFont="1" applyFill="1" applyBorder="1"/>
    <xf numFmtId="0" fontId="17" fillId="0" borderId="0" xfId="0" applyFont="1"/>
    <xf numFmtId="0" fontId="18" fillId="0" borderId="0" xfId="0" applyFont="1"/>
    <xf numFmtId="0" fontId="0" fillId="0" borderId="17" xfId="0" applyBorder="1"/>
    <xf numFmtId="3" fontId="0" fillId="0" borderId="0" xfId="0" applyNumberFormat="1"/>
    <xf numFmtId="166" fontId="20" fillId="0" borderId="0" xfId="1" applyFont="1"/>
    <xf numFmtId="166" fontId="2" fillId="0" borderId="0" xfId="0" applyNumberFormat="1" applyFont="1"/>
    <xf numFmtId="168" fontId="11" fillId="0" borderId="0" xfId="0" applyNumberFormat="1" applyFont="1" applyAlignment="1">
      <alignment horizontal="right"/>
    </xf>
    <xf numFmtId="0" fontId="0" fillId="0" borderId="0" xfId="0" applyBorder="1"/>
    <xf numFmtId="166" fontId="20" fillId="0" borderId="0" xfId="1" applyFont="1" applyBorder="1"/>
    <xf numFmtId="166" fontId="19" fillId="0" borderId="0" xfId="1" applyFont="1" applyBorder="1"/>
    <xf numFmtId="167" fontId="11" fillId="0" borderId="0" xfId="0" applyNumberFormat="1" applyFont="1" applyAlignment="1">
      <alignment horizontal="right"/>
    </xf>
    <xf numFmtId="168" fontId="11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3" fontId="11" fillId="0" borderId="0" xfId="0" applyNumberFormat="1" applyFont="1" applyFill="1" applyAlignment="1">
      <alignment horizontal="right"/>
    </xf>
    <xf numFmtId="0" fontId="9" fillId="2" borderId="16" xfId="0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right"/>
    </xf>
    <xf numFmtId="0" fontId="11" fillId="4" borderId="15" xfId="0" applyFont="1" applyFill="1" applyBorder="1"/>
    <xf numFmtId="0" fontId="2" fillId="0" borderId="10" xfId="0" applyFont="1" applyBorder="1"/>
    <xf numFmtId="0" fontId="2" fillId="0" borderId="20" xfId="0" applyFont="1" applyBorder="1"/>
    <xf numFmtId="0" fontId="0" fillId="0" borderId="22" xfId="0" applyBorder="1"/>
    <xf numFmtId="0" fontId="0" fillId="0" borderId="21" xfId="0" applyBorder="1"/>
    <xf numFmtId="0" fontId="2" fillId="7" borderId="15" xfId="0" applyFont="1" applyFill="1" applyBorder="1"/>
    <xf numFmtId="0" fontId="21" fillId="7" borderId="15" xfId="0" applyFont="1" applyFill="1" applyBorder="1"/>
    <xf numFmtId="0" fontId="21" fillId="7" borderId="17" xfId="0" applyFont="1" applyFill="1" applyBorder="1"/>
    <xf numFmtId="0" fontId="0" fillId="0" borderId="20" xfId="0" applyBorder="1"/>
    <xf numFmtId="0" fontId="2" fillId="0" borderId="17" xfId="0" applyFont="1" applyBorder="1"/>
    <xf numFmtId="0" fontId="0" fillId="0" borderId="15" xfId="0" applyBorder="1"/>
    <xf numFmtId="0" fontId="2" fillId="0" borderId="21" xfId="0" applyFont="1" applyBorder="1"/>
    <xf numFmtId="0" fontId="0" fillId="0" borderId="15" xfId="0" applyFill="1" applyBorder="1"/>
    <xf numFmtId="0" fontId="24" fillId="0" borderId="0" xfId="0" applyFont="1"/>
    <xf numFmtId="0" fontId="26" fillId="0" borderId="0" xfId="0" applyFont="1"/>
    <xf numFmtId="0" fontId="27" fillId="9" borderId="26" xfId="3" applyFont="1" applyFill="1" applyBorder="1" applyAlignment="1">
      <alignment horizontal="center"/>
    </xf>
    <xf numFmtId="0" fontId="27" fillId="11" borderId="3" xfId="0" applyFont="1" applyFill="1" applyBorder="1"/>
    <xf numFmtId="0" fontId="25" fillId="9" borderId="26" xfId="2" applyFont="1" applyFill="1" applyBorder="1"/>
    <xf numFmtId="0" fontId="27" fillId="0" borderId="39" xfId="0" applyFont="1" applyFill="1" applyBorder="1"/>
    <xf numFmtId="0" fontId="27" fillId="0" borderId="41" xfId="0" applyFont="1" applyFill="1" applyBorder="1"/>
    <xf numFmtId="0" fontId="27" fillId="9" borderId="26" xfId="4" applyFont="1" applyFill="1" applyBorder="1"/>
    <xf numFmtId="0" fontId="27" fillId="0" borderId="37" xfId="5" applyFont="1" applyFill="1" applyBorder="1"/>
    <xf numFmtId="0" fontId="27" fillId="0" borderId="0" xfId="2" applyFont="1" applyFill="1"/>
    <xf numFmtId="0" fontId="25" fillId="9" borderId="44" xfId="2" applyFont="1" applyFill="1" applyBorder="1"/>
    <xf numFmtId="0" fontId="25" fillId="0" borderId="0" xfId="3" applyFont="1" applyFill="1"/>
    <xf numFmtId="0" fontId="25" fillId="9" borderId="26" xfId="3" applyFont="1" applyFill="1" applyBorder="1"/>
    <xf numFmtId="0" fontId="27" fillId="0" borderId="54" xfId="0" applyFont="1" applyFill="1" applyBorder="1"/>
    <xf numFmtId="0" fontId="25" fillId="0" borderId="12" xfId="3" applyFont="1" applyFill="1" applyBorder="1"/>
    <xf numFmtId="0" fontId="27" fillId="0" borderId="0" xfId="0" applyFont="1" applyFill="1"/>
    <xf numFmtId="0" fontId="25" fillId="9" borderId="55" xfId="0" applyFont="1" applyFill="1" applyBorder="1"/>
    <xf numFmtId="0" fontId="25" fillId="9" borderId="7" xfId="0" applyFont="1" applyFill="1" applyBorder="1"/>
    <xf numFmtId="0" fontId="27" fillId="11" borderId="5" xfId="0" applyFont="1" applyFill="1" applyBorder="1"/>
    <xf numFmtId="0" fontId="27" fillId="11" borderId="41" xfId="0" applyFont="1" applyFill="1" applyBorder="1"/>
    <xf numFmtId="0" fontId="27" fillId="0" borderId="3" xfId="0" applyFont="1" applyFill="1" applyBorder="1"/>
    <xf numFmtId="169" fontId="27" fillId="11" borderId="3" xfId="0" applyNumberFormat="1" applyFont="1" applyFill="1" applyBorder="1" applyAlignment="1">
      <alignment horizontal="left"/>
    </xf>
    <xf numFmtId="169" fontId="27" fillId="11" borderId="30" xfId="0" applyNumberFormat="1" applyFont="1" applyFill="1" applyBorder="1" applyAlignment="1">
      <alignment horizontal="left"/>
    </xf>
    <xf numFmtId="0" fontId="27" fillId="0" borderId="44" xfId="0" applyFont="1" applyFill="1" applyBorder="1" applyAlignment="1"/>
    <xf numFmtId="0" fontId="25" fillId="0" borderId="7" xfId="0" applyFont="1" applyFill="1" applyBorder="1"/>
    <xf numFmtId="0" fontId="30" fillId="0" borderId="7" xfId="0" applyFont="1" applyFill="1" applyBorder="1"/>
    <xf numFmtId="0" fontId="27" fillId="0" borderId="30" xfId="0" applyFont="1" applyFill="1" applyBorder="1"/>
    <xf numFmtId="0" fontId="0" fillId="8" borderId="0" xfId="0" applyFill="1"/>
    <xf numFmtId="0" fontId="0" fillId="12" borderId="0" xfId="0" applyFill="1"/>
    <xf numFmtId="0" fontId="0" fillId="6" borderId="0" xfId="0" applyFill="1"/>
    <xf numFmtId="0" fontId="27" fillId="0" borderId="61" xfId="2" applyFont="1" applyFill="1" applyBorder="1"/>
    <xf numFmtId="0" fontId="27" fillId="0" borderId="62" xfId="2" applyFont="1" applyFill="1" applyBorder="1"/>
    <xf numFmtId="0" fontId="25" fillId="0" borderId="21" xfId="2" applyFont="1" applyFill="1" applyBorder="1"/>
    <xf numFmtId="0" fontId="27" fillId="9" borderId="42" xfId="4" applyFont="1" applyFill="1" applyBorder="1"/>
    <xf numFmtId="0" fontId="27" fillId="9" borderId="37" xfId="3" applyFont="1" applyFill="1" applyBorder="1" applyAlignment="1">
      <alignment horizontal="center"/>
    </xf>
    <xf numFmtId="0" fontId="0" fillId="13" borderId="0" xfId="0" applyFill="1"/>
    <xf numFmtId="170" fontId="6" fillId="0" borderId="71" xfId="0" applyNumberFormat="1" applyFont="1" applyFill="1" applyBorder="1" applyProtection="1">
      <protection locked="0"/>
    </xf>
    <xf numFmtId="0" fontId="0" fillId="14" borderId="0" xfId="0" applyFill="1"/>
    <xf numFmtId="0" fontId="27" fillId="0" borderId="3" xfId="5" applyFont="1" applyFill="1" applyBorder="1"/>
    <xf numFmtId="0" fontId="27" fillId="0" borderId="72" xfId="3" applyFont="1" applyFill="1" applyBorder="1"/>
    <xf numFmtId="0" fontId="27" fillId="12" borderId="3" xfId="0" applyFont="1" applyFill="1" applyBorder="1"/>
    <xf numFmtId="17" fontId="27" fillId="0" borderId="0" xfId="0" applyNumberFormat="1" applyFont="1" applyFill="1" applyAlignment="1">
      <alignment horizontal="left"/>
    </xf>
    <xf numFmtId="0" fontId="32" fillId="0" borderId="0" xfId="0" applyFont="1" applyFill="1"/>
    <xf numFmtId="0" fontId="27" fillId="15" borderId="73" xfId="0" applyFont="1" applyFill="1" applyBorder="1"/>
    <xf numFmtId="0" fontId="27" fillId="15" borderId="17" xfId="0" applyFont="1" applyFill="1" applyBorder="1"/>
    <xf numFmtId="0" fontId="34" fillId="0" borderId="74" xfId="0" applyFont="1" applyFill="1" applyBorder="1"/>
    <xf numFmtId="0" fontId="4" fillId="0" borderId="0" xfId="0" applyFont="1"/>
    <xf numFmtId="0" fontId="25" fillId="9" borderId="85" xfId="2" applyFont="1" applyFill="1" applyBorder="1"/>
    <xf numFmtId="0" fontId="25" fillId="9" borderId="78" xfId="2" applyFont="1" applyFill="1" applyBorder="1"/>
    <xf numFmtId="0" fontId="27" fillId="0" borderId="42" xfId="0" applyFont="1" applyFill="1" applyBorder="1"/>
    <xf numFmtId="0" fontId="25" fillId="0" borderId="12" xfId="0" applyFont="1" applyFill="1" applyBorder="1"/>
    <xf numFmtId="0" fontId="27" fillId="0" borderId="93" xfId="0" applyFont="1" applyFill="1" applyBorder="1"/>
    <xf numFmtId="0" fontId="27" fillId="0" borderId="61" xfId="0" applyFont="1" applyFill="1" applyBorder="1"/>
    <xf numFmtId="0" fontId="27" fillId="0" borderId="94" xfId="0" applyFont="1" applyFill="1" applyBorder="1"/>
    <xf numFmtId="0" fontId="27" fillId="0" borderId="95" xfId="0" applyFont="1" applyFill="1" applyBorder="1"/>
    <xf numFmtId="0" fontId="27" fillId="11" borderId="54" xfId="0" applyFont="1" applyFill="1" applyBorder="1"/>
    <xf numFmtId="0" fontId="27" fillId="0" borderId="20" xfId="0" applyFont="1" applyFill="1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166" fontId="0" fillId="0" borderId="1" xfId="1" applyFont="1" applyBorder="1"/>
    <xf numFmtId="0" fontId="2" fillId="0" borderId="0" xfId="0" applyFont="1"/>
    <xf numFmtId="0" fontId="9" fillId="7" borderId="15" xfId="0" applyFont="1" applyFill="1" applyBorder="1" applyAlignment="1">
      <alignment vertical="center" wrapText="1"/>
    </xf>
    <xf numFmtId="166" fontId="26" fillId="0" borderId="0" xfId="1" applyFont="1"/>
    <xf numFmtId="166" fontId="27" fillId="9" borderId="26" xfId="1" applyFont="1" applyFill="1" applyBorder="1" applyAlignment="1">
      <alignment horizontal="center"/>
    </xf>
    <xf numFmtId="166" fontId="27" fillId="11" borderId="1" xfId="1" applyFont="1" applyFill="1" applyBorder="1" applyAlignment="1">
      <alignment horizontal="center"/>
    </xf>
    <xf numFmtId="166" fontId="27" fillId="11" borderId="29" xfId="1" applyFont="1" applyFill="1" applyBorder="1" applyAlignment="1">
      <alignment horizontal="center"/>
    </xf>
    <xf numFmtId="166" fontId="27" fillId="11" borderId="31" xfId="1" applyFont="1" applyFill="1" applyBorder="1" applyAlignment="1">
      <alignment horizontal="center"/>
    </xf>
    <xf numFmtId="166" fontId="27" fillId="9" borderId="86" xfId="1" applyFont="1" applyFill="1" applyBorder="1" applyAlignment="1">
      <alignment horizontal="center"/>
    </xf>
    <xf numFmtId="166" fontId="27" fillId="9" borderId="87" xfId="1" applyFont="1" applyFill="1" applyBorder="1" applyAlignment="1">
      <alignment horizontal="center"/>
    </xf>
    <xf numFmtId="166" fontId="27" fillId="9" borderId="76" xfId="1" applyFont="1" applyFill="1" applyBorder="1" applyAlignment="1">
      <alignment horizontal="center"/>
    </xf>
    <xf numFmtId="166" fontId="27" fillId="9" borderId="79" xfId="1" applyFont="1" applyFill="1" applyBorder="1" applyAlignment="1">
      <alignment horizontal="center"/>
    </xf>
    <xf numFmtId="166" fontId="27" fillId="11" borderId="40" xfId="1" applyFont="1" applyFill="1" applyBorder="1" applyAlignment="1">
      <alignment horizontal="center"/>
    </xf>
    <xf numFmtId="166" fontId="27" fillId="11" borderId="43" xfId="1" applyFont="1" applyFill="1" applyBorder="1" applyAlignment="1">
      <alignment horizontal="center"/>
    </xf>
    <xf numFmtId="166" fontId="28" fillId="11" borderId="15" xfId="1" applyFont="1" applyFill="1" applyBorder="1" applyAlignment="1">
      <alignment horizontal="center"/>
    </xf>
    <xf numFmtId="166" fontId="24" fillId="0" borderId="0" xfId="1" applyFont="1"/>
    <xf numFmtId="166" fontId="27" fillId="9" borderId="34" xfId="1" applyFont="1" applyFill="1" applyBorder="1" applyAlignment="1">
      <alignment horizontal="center"/>
    </xf>
    <xf numFmtId="166" fontId="27" fillId="9" borderId="35" xfId="1" applyFont="1" applyFill="1" applyBorder="1" applyAlignment="1">
      <alignment horizontal="center"/>
    </xf>
    <xf numFmtId="166" fontId="27" fillId="9" borderId="45" xfId="1" applyFont="1" applyFill="1" applyBorder="1" applyAlignment="1">
      <alignment horizontal="center"/>
    </xf>
    <xf numFmtId="166" fontId="27" fillId="9" borderId="38" xfId="1" applyFont="1" applyFill="1" applyBorder="1" applyAlignment="1">
      <alignment horizontal="center"/>
    </xf>
    <xf numFmtId="166" fontId="27" fillId="9" borderId="4" xfId="1" applyFont="1" applyFill="1" applyBorder="1" applyAlignment="1">
      <alignment horizontal="center"/>
    </xf>
    <xf numFmtId="166" fontId="29" fillId="11" borderId="1" xfId="1" applyFont="1" applyFill="1" applyBorder="1" applyAlignment="1">
      <alignment horizontal="center"/>
    </xf>
    <xf numFmtId="166" fontId="27" fillId="12" borderId="1" xfId="1" applyFont="1" applyFill="1" applyBorder="1" applyAlignment="1">
      <alignment horizontal="center"/>
    </xf>
    <xf numFmtId="166" fontId="28" fillId="11" borderId="76" xfId="1" applyFont="1" applyFill="1" applyBorder="1" applyAlignment="1">
      <alignment horizontal="center"/>
    </xf>
    <xf numFmtId="166" fontId="27" fillId="12" borderId="29" xfId="1" applyFont="1" applyFill="1" applyBorder="1" applyAlignment="1">
      <alignment horizontal="center"/>
    </xf>
    <xf numFmtId="166" fontId="28" fillId="11" borderId="8" xfId="1" applyFont="1" applyFill="1" applyBorder="1" applyAlignment="1">
      <alignment horizontal="center"/>
    </xf>
    <xf numFmtId="166" fontId="28" fillId="11" borderId="7" xfId="1" applyFont="1" applyFill="1" applyBorder="1" applyAlignment="1">
      <alignment horizontal="center"/>
    </xf>
    <xf numFmtId="166" fontId="27" fillId="9" borderId="48" xfId="1" applyFont="1" applyFill="1" applyBorder="1" applyAlignment="1">
      <alignment horizontal="center"/>
    </xf>
    <xf numFmtId="166" fontId="27" fillId="9" borderId="63" xfId="1" applyFont="1" applyFill="1" applyBorder="1" applyAlignment="1">
      <alignment horizontal="center"/>
    </xf>
    <xf numFmtId="166" fontId="27" fillId="9" borderId="92" xfId="1" applyFont="1" applyFill="1" applyBorder="1" applyAlignment="1">
      <alignment horizontal="center"/>
    </xf>
    <xf numFmtId="166" fontId="27" fillId="11" borderId="6" xfId="1" applyFont="1" applyFill="1" applyBorder="1" applyAlignment="1">
      <alignment horizontal="center"/>
    </xf>
    <xf numFmtId="166" fontId="27" fillId="11" borderId="68" xfId="1" applyFont="1" applyFill="1" applyBorder="1" applyAlignment="1">
      <alignment horizontal="center"/>
    </xf>
    <xf numFmtId="166" fontId="27" fillId="11" borderId="0" xfId="1" applyFont="1" applyFill="1" applyBorder="1" applyAlignment="1">
      <alignment horizontal="center"/>
    </xf>
    <xf numFmtId="166" fontId="27" fillId="11" borderId="67" xfId="1" applyFont="1" applyFill="1" applyBorder="1" applyAlignment="1">
      <alignment horizontal="center"/>
    </xf>
    <xf numFmtId="166" fontId="27" fillId="11" borderId="52" xfId="1" applyFont="1" applyFill="1" applyBorder="1" applyAlignment="1">
      <alignment horizontal="center"/>
    </xf>
    <xf numFmtId="166" fontId="27" fillId="12" borderId="52" xfId="1" applyFont="1" applyFill="1" applyBorder="1" applyAlignment="1">
      <alignment horizontal="center"/>
    </xf>
    <xf numFmtId="166" fontId="28" fillId="11" borderId="37" xfId="1" applyFont="1" applyFill="1" applyBorder="1" applyAlignment="1">
      <alignment horizontal="center"/>
    </xf>
    <xf numFmtId="166" fontId="27" fillId="9" borderId="50" xfId="1" applyFont="1" applyFill="1" applyBorder="1" applyAlignment="1">
      <alignment horizontal="center"/>
    </xf>
    <xf numFmtId="166" fontId="27" fillId="9" borderId="15" xfId="1" applyFont="1" applyFill="1" applyBorder="1" applyAlignment="1">
      <alignment horizontal="center"/>
    </xf>
    <xf numFmtId="166" fontId="27" fillId="9" borderId="59" xfId="1" applyFont="1" applyFill="1" applyBorder="1" applyAlignment="1">
      <alignment horizontal="center"/>
    </xf>
    <xf numFmtId="166" fontId="27" fillId="9" borderId="17" xfId="1" applyFont="1" applyFill="1" applyBorder="1" applyAlignment="1">
      <alignment horizontal="center"/>
    </xf>
    <xf numFmtId="166" fontId="27" fillId="9" borderId="60" xfId="1" applyFont="1" applyFill="1" applyBorder="1" applyAlignment="1">
      <alignment horizontal="center"/>
    </xf>
    <xf numFmtId="166" fontId="27" fillId="9" borderId="8" xfId="1" applyFont="1" applyFill="1" applyBorder="1" applyAlignment="1">
      <alignment horizontal="center"/>
    </xf>
    <xf numFmtId="166" fontId="27" fillId="12" borderId="6" xfId="1" applyFont="1" applyFill="1" applyBorder="1" applyAlignment="1">
      <alignment horizontal="center"/>
    </xf>
    <xf numFmtId="166" fontId="27" fillId="11" borderId="56" xfId="1" applyFont="1" applyFill="1" applyBorder="1" applyAlignment="1">
      <alignment horizontal="center"/>
    </xf>
    <xf numFmtId="166" fontId="27" fillId="11" borderId="47" xfId="1" applyFont="1" applyFill="1" applyBorder="1" applyAlignment="1">
      <alignment horizontal="center"/>
    </xf>
    <xf numFmtId="166" fontId="27" fillId="11" borderId="49" xfId="1" applyFont="1" applyFill="1" applyBorder="1" applyAlignment="1">
      <alignment horizontal="center"/>
    </xf>
    <xf numFmtId="166" fontId="27" fillId="11" borderId="45" xfId="1" applyFont="1" applyFill="1" applyBorder="1" applyAlignment="1">
      <alignment horizontal="center"/>
    </xf>
    <xf numFmtId="166" fontId="27" fillId="0" borderId="1" xfId="1" applyFont="1" applyFill="1" applyBorder="1" applyAlignment="1">
      <alignment horizontal="center"/>
    </xf>
    <xf numFmtId="166" fontId="27" fillId="9" borderId="96" xfId="1" applyFont="1" applyFill="1" applyBorder="1" applyAlignment="1">
      <alignment horizontal="center"/>
    </xf>
    <xf numFmtId="166" fontId="27" fillId="9" borderId="37" xfId="1" applyFont="1" applyFill="1" applyBorder="1" applyAlignment="1">
      <alignment horizontal="center"/>
    </xf>
    <xf numFmtId="166" fontId="27" fillId="11" borderId="97" xfId="1" applyFont="1" applyFill="1" applyBorder="1" applyAlignment="1">
      <alignment horizontal="center"/>
    </xf>
    <xf numFmtId="166" fontId="27" fillId="11" borderId="64" xfId="1" applyFont="1" applyFill="1" applyBorder="1" applyAlignment="1">
      <alignment horizontal="center"/>
    </xf>
    <xf numFmtId="166" fontId="27" fillId="11" borderId="98" xfId="1" applyFont="1" applyFill="1" applyBorder="1" applyAlignment="1">
      <alignment horizontal="center"/>
    </xf>
    <xf numFmtId="166" fontId="27" fillId="0" borderId="45" xfId="1" applyFont="1" applyFill="1" applyBorder="1" applyAlignment="1">
      <alignment horizontal="center"/>
    </xf>
    <xf numFmtId="166" fontId="28" fillId="11" borderId="79" xfId="1" applyFont="1" applyFill="1" applyBorder="1" applyAlignment="1">
      <alignment horizontal="center"/>
    </xf>
    <xf numFmtId="166" fontId="27" fillId="15" borderId="50" xfId="1" applyFont="1" applyFill="1" applyBorder="1" applyAlignment="1">
      <alignment horizontal="center"/>
    </xf>
    <xf numFmtId="166" fontId="27" fillId="15" borderId="73" xfId="1" applyFont="1" applyFill="1" applyBorder="1" applyAlignment="1">
      <alignment horizontal="center"/>
    </xf>
    <xf numFmtId="166" fontId="27" fillId="15" borderId="18" xfId="1" applyFont="1" applyFill="1" applyBorder="1" applyAlignment="1">
      <alignment horizontal="center"/>
    </xf>
    <xf numFmtId="166" fontId="27" fillId="15" borderId="17" xfId="1" applyFont="1" applyFill="1" applyBorder="1" applyAlignment="1">
      <alignment horizontal="center"/>
    </xf>
    <xf numFmtId="166" fontId="27" fillId="0" borderId="6" xfId="1" applyFont="1" applyFill="1" applyBorder="1" applyAlignment="1">
      <alignment horizontal="center"/>
    </xf>
    <xf numFmtId="166" fontId="32" fillId="11" borderId="75" xfId="1" applyFont="1" applyFill="1" applyBorder="1" applyAlignment="1">
      <alignment horizontal="center"/>
    </xf>
    <xf numFmtId="166" fontId="4" fillId="0" borderId="0" xfId="1" applyFont="1"/>
    <xf numFmtId="166" fontId="27" fillId="9" borderId="77" xfId="1" applyFont="1" applyFill="1" applyBorder="1" applyAlignment="1">
      <alignment horizontal="center"/>
    </xf>
    <xf numFmtId="166" fontId="27" fillId="9" borderId="90" xfId="1" applyFont="1" applyFill="1" applyBorder="1" applyAlignment="1">
      <alignment horizontal="center"/>
    </xf>
    <xf numFmtId="166" fontId="27" fillId="9" borderId="88" xfId="1" applyFont="1" applyFill="1" applyBorder="1" applyAlignment="1">
      <alignment horizontal="center"/>
    </xf>
    <xf numFmtId="166" fontId="27" fillId="9" borderId="91" xfId="1" applyFont="1" applyFill="1" applyBorder="1" applyAlignment="1">
      <alignment horizontal="center"/>
    </xf>
    <xf numFmtId="166" fontId="27" fillId="11" borderId="89" xfId="1" applyFont="1" applyFill="1" applyBorder="1" applyAlignment="1">
      <alignment horizontal="center"/>
    </xf>
    <xf numFmtId="166" fontId="29" fillId="11" borderId="6" xfId="1" applyFont="1" applyFill="1" applyBorder="1" applyAlignment="1">
      <alignment horizontal="center"/>
    </xf>
    <xf numFmtId="166" fontId="4" fillId="0" borderId="0" xfId="1" applyFont="1" applyFill="1"/>
    <xf numFmtId="166" fontId="27" fillId="9" borderId="58" xfId="1" applyFont="1" applyFill="1" applyBorder="1" applyAlignment="1">
      <alignment horizontal="center"/>
    </xf>
    <xf numFmtId="166" fontId="27" fillId="9" borderId="70" xfId="1" applyFont="1" applyFill="1" applyBorder="1" applyAlignment="1">
      <alignment horizontal="center"/>
    </xf>
    <xf numFmtId="166" fontId="27" fillId="11" borderId="66" xfId="1" applyFont="1" applyFill="1" applyBorder="1" applyAlignment="1">
      <alignment horizontal="center"/>
    </xf>
    <xf numFmtId="166" fontId="27" fillId="11" borderId="14" xfId="1" applyFont="1" applyFill="1" applyBorder="1" applyAlignment="1">
      <alignment horizontal="center"/>
    </xf>
    <xf numFmtId="166" fontId="27" fillId="11" borderId="99" xfId="1" applyFont="1" applyFill="1" applyBorder="1" applyAlignment="1">
      <alignment horizontal="center"/>
    </xf>
    <xf numFmtId="166" fontId="27" fillId="11" borderId="81" xfId="1" applyFont="1" applyFill="1" applyBorder="1" applyAlignment="1">
      <alignment horizontal="center"/>
    </xf>
    <xf numFmtId="166" fontId="27" fillId="0" borderId="81" xfId="1" applyFont="1" applyFill="1" applyBorder="1" applyAlignment="1">
      <alignment horizontal="center"/>
    </xf>
    <xf numFmtId="166" fontId="27" fillId="15" borderId="17" xfId="1" applyFont="1" applyFill="1" applyBorder="1" applyAlignment="1">
      <alignment horizontal="center" wrapText="1"/>
    </xf>
    <xf numFmtId="166" fontId="3" fillId="0" borderId="0" xfId="1" applyFont="1"/>
    <xf numFmtId="166" fontId="9" fillId="7" borderId="16" xfId="1" applyFont="1" applyFill="1" applyBorder="1" applyAlignment="1">
      <alignment horizontal="center" vertical="center" wrapText="1"/>
    </xf>
    <xf numFmtId="166" fontId="8" fillId="0" borderId="0" xfId="1" applyFont="1"/>
    <xf numFmtId="166" fontId="11" fillId="0" borderId="16" xfId="1" applyFont="1" applyBorder="1" applyAlignment="1">
      <alignment horizontal="right"/>
    </xf>
    <xf numFmtId="166" fontId="10" fillId="0" borderId="17" xfId="1" applyFont="1" applyBorder="1" applyAlignment="1">
      <alignment wrapText="1"/>
    </xf>
    <xf numFmtId="166" fontId="11" fillId="0" borderId="13" xfId="1" applyFont="1" applyBorder="1" applyAlignment="1">
      <alignment horizontal="right"/>
    </xf>
    <xf numFmtId="166" fontId="21" fillId="0" borderId="19" xfId="1" applyFont="1" applyBorder="1" applyAlignment="1">
      <alignment horizontal="right"/>
    </xf>
    <xf numFmtId="166" fontId="7" fillId="0" borderId="22" xfId="1" applyFont="1" applyBorder="1"/>
    <xf numFmtId="166" fontId="9" fillId="0" borderId="16" xfId="1" applyFont="1" applyBorder="1" applyAlignment="1">
      <alignment horizontal="right"/>
    </xf>
    <xf numFmtId="166" fontId="0" fillId="12" borderId="0" xfId="1" applyFont="1" applyFill="1"/>
    <xf numFmtId="166" fontId="28" fillId="11" borderId="0" xfId="1" applyFont="1" applyFill="1" applyBorder="1" applyAlignment="1">
      <alignment horizontal="center"/>
    </xf>
    <xf numFmtId="166" fontId="27" fillId="9" borderId="36" xfId="1" applyFont="1" applyFill="1" applyBorder="1" applyAlignment="1">
      <alignment horizontal="center"/>
    </xf>
    <xf numFmtId="166" fontId="27" fillId="9" borderId="69" xfId="1" applyFont="1" applyFill="1" applyBorder="1" applyAlignment="1">
      <alignment horizontal="center"/>
    </xf>
    <xf numFmtId="166" fontId="27" fillId="9" borderId="46" xfId="1" applyFont="1" applyFill="1" applyBorder="1" applyAlignment="1">
      <alignment horizontal="center"/>
    </xf>
    <xf numFmtId="166" fontId="27" fillId="9" borderId="51" xfId="1" applyFont="1" applyFill="1" applyBorder="1" applyAlignment="1">
      <alignment horizontal="center"/>
    </xf>
    <xf numFmtId="166" fontId="27" fillId="9" borderId="9" xfId="1" applyFont="1" applyFill="1" applyBorder="1" applyAlignment="1">
      <alignment horizontal="center"/>
    </xf>
    <xf numFmtId="166" fontId="27" fillId="0" borderId="58" xfId="1" applyFont="1" applyFill="1" applyBorder="1" applyAlignment="1">
      <alignment horizontal="center"/>
    </xf>
    <xf numFmtId="166" fontId="27" fillId="0" borderId="15" xfId="1" applyFont="1" applyFill="1" applyBorder="1" applyAlignment="1">
      <alignment horizontal="center"/>
    </xf>
    <xf numFmtId="166" fontId="31" fillId="11" borderId="6" xfId="1" applyFont="1" applyFill="1" applyBorder="1" applyAlignment="1">
      <alignment horizontal="center"/>
    </xf>
    <xf numFmtId="166" fontId="31" fillId="0" borderId="6" xfId="1" applyFont="1" applyFill="1" applyBorder="1" applyAlignment="1">
      <alignment horizontal="center"/>
    </xf>
    <xf numFmtId="166" fontId="27" fillId="15" borderId="23" xfId="1" applyFont="1" applyFill="1" applyBorder="1" applyAlignment="1">
      <alignment horizontal="center"/>
    </xf>
    <xf numFmtId="166" fontId="27" fillId="15" borderId="13" xfId="1" applyFont="1" applyFill="1" applyBorder="1" applyAlignment="1">
      <alignment horizontal="center"/>
    </xf>
    <xf numFmtId="166" fontId="26" fillId="0" borderId="0" xfId="1" applyFont="1" applyFill="1"/>
    <xf numFmtId="166" fontId="2" fillId="7" borderId="15" xfId="1" applyFont="1" applyFill="1" applyBorder="1"/>
    <xf numFmtId="166" fontId="0" fillId="0" borderId="16" xfId="1" applyFont="1" applyBorder="1"/>
    <xf numFmtId="166" fontId="2" fillId="0" borderId="23" xfId="1" applyFont="1" applyBorder="1"/>
    <xf numFmtId="166" fontId="2" fillId="0" borderId="11" xfId="1" applyFont="1" applyBorder="1"/>
    <xf numFmtId="166" fontId="22" fillId="7" borderId="15" xfId="1" applyFont="1" applyFill="1" applyBorder="1"/>
    <xf numFmtId="166" fontId="2" fillId="12" borderId="11" xfId="1" applyFont="1" applyFill="1" applyBorder="1"/>
    <xf numFmtId="166" fontId="7" fillId="0" borderId="24" xfId="1" applyFont="1" applyFill="1" applyBorder="1"/>
    <xf numFmtId="166" fontId="22" fillId="0" borderId="16" xfId="1" applyFont="1" applyFill="1" applyBorder="1"/>
    <xf numFmtId="166" fontId="22" fillId="7" borderId="16" xfId="1" applyFont="1" applyFill="1" applyBorder="1"/>
    <xf numFmtId="166" fontId="7" fillId="0" borderId="11" xfId="1" applyFont="1" applyFill="1" applyBorder="1"/>
    <xf numFmtId="0" fontId="2" fillId="0" borderId="1" xfId="0" applyFont="1" applyBorder="1"/>
    <xf numFmtId="0" fontId="27" fillId="0" borderId="1" xfId="0" applyFont="1" applyFill="1" applyBorder="1"/>
    <xf numFmtId="4" fontId="27" fillId="11" borderId="1" xfId="0" applyNumberFormat="1" applyFont="1" applyFill="1" applyBorder="1" applyAlignment="1">
      <alignment horizontal="center"/>
    </xf>
    <xf numFmtId="14" fontId="35" fillId="0" borderId="1" xfId="0" applyNumberFormat="1" applyFont="1" applyBorder="1"/>
    <xf numFmtId="0" fontId="25" fillId="0" borderId="1" xfId="0" applyFont="1" applyFill="1" applyBorder="1"/>
    <xf numFmtId="0" fontId="27" fillId="8" borderId="1" xfId="0" applyFont="1" applyFill="1" applyBorder="1"/>
    <xf numFmtId="0" fontId="27" fillId="6" borderId="1" xfId="0" applyFont="1" applyFill="1" applyBorder="1"/>
    <xf numFmtId="171" fontId="27" fillId="0" borderId="1" xfId="0" applyNumberFormat="1" applyFont="1" applyFill="1" applyBorder="1"/>
    <xf numFmtId="0" fontId="27" fillId="11" borderId="1" xfId="6" applyFont="1" applyFill="1" applyBorder="1"/>
    <xf numFmtId="4" fontId="27" fillId="11" borderId="1" xfId="6" applyNumberFormat="1" applyFont="1" applyFill="1" applyBorder="1" applyAlignment="1">
      <alignment horizontal="center"/>
    </xf>
    <xf numFmtId="0" fontId="27" fillId="12" borderId="1" xfId="0" applyFont="1" applyFill="1" applyBorder="1"/>
    <xf numFmtId="4" fontId="27" fillId="12" borderId="1" xfId="0" applyNumberFormat="1" applyFont="1" applyFill="1" applyBorder="1" applyAlignment="1">
      <alignment horizontal="center"/>
    </xf>
    <xf numFmtId="14" fontId="35" fillId="12" borderId="1" xfId="0" applyNumberFormat="1" applyFont="1" applyFill="1" applyBorder="1"/>
    <xf numFmtId="171" fontId="27" fillId="12" borderId="1" xfId="0" applyNumberFormat="1" applyFont="1" applyFill="1" applyBorder="1"/>
    <xf numFmtId="0" fontId="27" fillId="12" borderId="1" xfId="6" applyFont="1" applyFill="1" applyBorder="1"/>
    <xf numFmtId="4" fontId="27" fillId="12" borderId="1" xfId="6" applyNumberFormat="1" applyFont="1" applyFill="1" applyBorder="1" applyAlignment="1">
      <alignment horizontal="center"/>
    </xf>
    <xf numFmtId="0" fontId="25" fillId="0" borderId="0" xfId="0" applyFont="1" applyFill="1" applyBorder="1"/>
    <xf numFmtId="171" fontId="0" fillId="0" borderId="0" xfId="0" applyNumberFormat="1"/>
    <xf numFmtId="171" fontId="0" fillId="0" borderId="2" xfId="0" applyNumberFormat="1" applyBorder="1"/>
    <xf numFmtId="0" fontId="2" fillId="0" borderId="20" xfId="0" applyFont="1" applyFill="1" applyBorder="1"/>
    <xf numFmtId="0" fontId="10" fillId="0" borderId="17" xfId="0" applyFont="1" applyFill="1" applyBorder="1"/>
    <xf numFmtId="166" fontId="2" fillId="0" borderId="11" xfId="1" applyFont="1" applyFill="1" applyBorder="1"/>
    <xf numFmtId="166" fontId="0" fillId="0" borderId="0" xfId="1" applyFont="1" applyFill="1"/>
    <xf numFmtId="166" fontId="0" fillId="0" borderId="0" xfId="1" applyFont="1"/>
    <xf numFmtId="166" fontId="0" fillId="0" borderId="0" xfId="1" applyFont="1" applyBorder="1"/>
    <xf numFmtId="166" fontId="25" fillId="0" borderId="0" xfId="1" applyFont="1" applyFill="1"/>
    <xf numFmtId="166" fontId="3" fillId="0" borderId="0" xfId="1" applyFont="1" applyFill="1"/>
    <xf numFmtId="166" fontId="9" fillId="0" borderId="16" xfId="1" applyFont="1" applyFill="1" applyBorder="1" applyAlignment="1">
      <alignment horizontal="center" vertical="center" wrapText="1"/>
    </xf>
    <xf numFmtId="166" fontId="8" fillId="0" borderId="0" xfId="1" applyFont="1" applyFill="1"/>
    <xf numFmtId="166" fontId="11" fillId="0" borderId="16" xfId="1" applyFont="1" applyFill="1" applyBorder="1" applyAlignment="1">
      <alignment horizontal="right"/>
    </xf>
    <xf numFmtId="166" fontId="11" fillId="0" borderId="13" xfId="1" applyFont="1" applyFill="1" applyBorder="1" applyAlignment="1">
      <alignment horizontal="right"/>
    </xf>
    <xf numFmtId="166" fontId="9" fillId="0" borderId="16" xfId="1" applyFont="1" applyFill="1" applyBorder="1" applyAlignment="1">
      <alignment horizontal="right"/>
    </xf>
    <xf numFmtId="166" fontId="8" fillId="0" borderId="13" xfId="1" applyFont="1" applyFill="1" applyBorder="1"/>
    <xf numFmtId="166" fontId="12" fillId="0" borderId="13" xfId="1" applyFont="1" applyFill="1" applyBorder="1" applyAlignment="1">
      <alignment horizontal="right"/>
    </xf>
    <xf numFmtId="166" fontId="7" fillId="0" borderId="22" xfId="1" applyFont="1" applyFill="1" applyBorder="1"/>
    <xf numFmtId="0" fontId="10" fillId="0" borderId="15" xfId="0" applyFont="1" applyFill="1" applyBorder="1"/>
    <xf numFmtId="0" fontId="27" fillId="0" borderId="30" xfId="5" applyFont="1" applyFill="1" applyBorder="1"/>
    <xf numFmtId="166" fontId="27" fillId="0" borderId="32" xfId="1" applyFont="1" applyFill="1" applyBorder="1" applyAlignment="1">
      <alignment horizontal="center"/>
    </xf>
    <xf numFmtId="166" fontId="27" fillId="0" borderId="31" xfId="1" applyFont="1" applyFill="1" applyBorder="1" applyAlignment="1">
      <alignment horizontal="center"/>
    </xf>
    <xf numFmtId="166" fontId="27" fillId="0" borderId="67" xfId="1" applyFont="1" applyFill="1" applyBorder="1" applyAlignment="1">
      <alignment horizontal="center"/>
    </xf>
    <xf numFmtId="166" fontId="33" fillId="0" borderId="0" xfId="1" applyFont="1" applyFill="1"/>
    <xf numFmtId="0" fontId="33" fillId="0" borderId="0" xfId="0" applyFont="1" applyFill="1"/>
    <xf numFmtId="0" fontId="27" fillId="0" borderId="30" xfId="5" applyFont="1" applyFill="1" applyBorder="1" applyAlignment="1">
      <alignment wrapText="1"/>
    </xf>
    <xf numFmtId="166" fontId="27" fillId="0" borderId="47" xfId="1" applyFont="1" applyFill="1" applyBorder="1" applyAlignment="1">
      <alignment horizontal="center"/>
    </xf>
    <xf numFmtId="166" fontId="27" fillId="16" borderId="6" xfId="1" applyFont="1" applyFill="1" applyBorder="1" applyAlignment="1">
      <alignment horizontal="center"/>
    </xf>
    <xf numFmtId="166" fontId="27" fillId="16" borderId="47" xfId="1" applyFont="1" applyFill="1" applyBorder="1" applyAlignment="1">
      <alignment horizontal="center"/>
    </xf>
    <xf numFmtId="166" fontId="27" fillId="16" borderId="1" xfId="1" applyFont="1" applyFill="1" applyBorder="1" applyAlignment="1">
      <alignment horizontal="center"/>
    </xf>
    <xf numFmtId="0" fontId="26" fillId="0" borderId="0" xfId="0" applyFont="1" applyFill="1"/>
    <xf numFmtId="166" fontId="26" fillId="16" borderId="0" xfId="1" applyFont="1" applyFill="1"/>
    <xf numFmtId="0" fontId="26" fillId="16" borderId="0" xfId="0" applyFont="1" applyFill="1"/>
    <xf numFmtId="0" fontId="27" fillId="16" borderId="5" xfId="0" applyFont="1" applyFill="1" applyBorder="1"/>
    <xf numFmtId="166" fontId="27" fillId="16" borderId="66" xfId="1" applyFont="1" applyFill="1" applyBorder="1" applyAlignment="1">
      <alignment horizontal="center"/>
    </xf>
    <xf numFmtId="169" fontId="27" fillId="0" borderId="30" xfId="0" applyNumberFormat="1" applyFont="1" applyFill="1" applyBorder="1" applyAlignment="1">
      <alignment horizontal="left"/>
    </xf>
    <xf numFmtId="166" fontId="27" fillId="0" borderId="66" xfId="1" applyFont="1" applyFill="1" applyBorder="1" applyAlignment="1">
      <alignment horizontal="center"/>
    </xf>
    <xf numFmtId="169" fontId="27" fillId="0" borderId="3" xfId="0" applyNumberFormat="1" applyFont="1" applyFill="1" applyBorder="1" applyAlignment="1">
      <alignment horizontal="left"/>
    </xf>
    <xf numFmtId="166" fontId="27" fillId="0" borderId="98" xfId="1" applyFont="1" applyFill="1" applyBorder="1" applyAlignment="1">
      <alignment horizontal="center"/>
    </xf>
    <xf numFmtId="166" fontId="27" fillId="0" borderId="64" xfId="1" applyFont="1" applyFill="1" applyBorder="1" applyAlignment="1">
      <alignment horizontal="center"/>
    </xf>
    <xf numFmtId="166" fontId="27" fillId="0" borderId="40" xfId="1" applyFont="1" applyFill="1" applyBorder="1" applyAlignment="1">
      <alignment horizontal="center"/>
    </xf>
    <xf numFmtId="166" fontId="27" fillId="0" borderId="29" xfId="1" applyFont="1" applyFill="1" applyBorder="1" applyAlignment="1">
      <alignment horizontal="center"/>
    </xf>
    <xf numFmtId="166" fontId="11" fillId="11" borderId="16" xfId="1" applyFont="1" applyFill="1" applyBorder="1" applyAlignment="1">
      <alignment horizontal="right"/>
    </xf>
    <xf numFmtId="0" fontId="25" fillId="9" borderId="44" xfId="3" applyFont="1" applyFill="1" applyBorder="1"/>
    <xf numFmtId="166" fontId="27" fillId="9" borderId="31" xfId="1" applyFont="1" applyFill="1" applyBorder="1" applyAlignment="1">
      <alignment horizontal="center"/>
    </xf>
    <xf numFmtId="166" fontId="27" fillId="9" borderId="100" xfId="1" applyFont="1" applyFill="1" applyBorder="1" applyAlignment="1">
      <alignment horizontal="center"/>
    </xf>
    <xf numFmtId="166" fontId="27" fillId="9" borderId="44" xfId="1" applyFont="1" applyFill="1" applyBorder="1" applyAlignment="1">
      <alignment horizontal="center"/>
    </xf>
    <xf numFmtId="166" fontId="27" fillId="9" borderId="64" xfId="1" applyFont="1" applyFill="1" applyBorder="1" applyAlignment="1">
      <alignment horizontal="center"/>
    </xf>
    <xf numFmtId="166" fontId="27" fillId="9" borderId="101" xfId="1" applyFont="1" applyFill="1" applyBorder="1" applyAlignment="1">
      <alignment horizontal="center"/>
    </xf>
    <xf numFmtId="0" fontId="27" fillId="0" borderId="20" xfId="3" applyFont="1" applyFill="1" applyBorder="1"/>
    <xf numFmtId="0" fontId="27" fillId="0" borderId="61" xfId="3" applyFont="1" applyFill="1" applyBorder="1"/>
    <xf numFmtId="166" fontId="27" fillId="0" borderId="52" xfId="1" applyFont="1" applyFill="1" applyBorder="1" applyAlignment="1">
      <alignment horizontal="center"/>
    </xf>
    <xf numFmtId="166" fontId="32" fillId="11" borderId="18" xfId="1" applyFont="1" applyFill="1" applyBorder="1" applyAlignment="1">
      <alignment horizontal="center"/>
    </xf>
    <xf numFmtId="166" fontId="0" fillId="15" borderId="73" xfId="1" applyFont="1" applyFill="1" applyBorder="1"/>
    <xf numFmtId="166" fontId="0" fillId="15" borderId="17" xfId="1" applyFont="1" applyFill="1" applyBorder="1"/>
    <xf numFmtId="0" fontId="27" fillId="0" borderId="57" xfId="5" applyFont="1" applyFill="1" applyBorder="1"/>
    <xf numFmtId="166" fontId="27" fillId="0" borderId="14" xfId="1" applyFont="1" applyFill="1" applyBorder="1" applyAlignment="1">
      <alignment horizontal="center"/>
    </xf>
    <xf numFmtId="166" fontId="27" fillId="0" borderId="80" xfId="1" applyFont="1" applyFill="1" applyBorder="1" applyAlignment="1">
      <alignment horizontal="center"/>
    </xf>
    <xf numFmtId="166" fontId="27" fillId="0" borderId="25" xfId="1" applyFont="1" applyFill="1" applyBorder="1" applyAlignment="1">
      <alignment horizontal="center"/>
    </xf>
    <xf numFmtId="166" fontId="27" fillId="0" borderId="49" xfId="1" applyFont="1" applyFill="1" applyBorder="1" applyAlignment="1">
      <alignment horizontal="center"/>
    </xf>
    <xf numFmtId="0" fontId="27" fillId="0" borderId="5" xfId="0" applyFont="1" applyFill="1" applyBorder="1"/>
    <xf numFmtId="166" fontId="27" fillId="0" borderId="97" xfId="1" applyFont="1" applyFill="1" applyBorder="1" applyAlignment="1">
      <alignment horizontal="center"/>
    </xf>
    <xf numFmtId="166" fontId="27" fillId="0" borderId="43" xfId="1" applyFont="1" applyFill="1" applyBorder="1" applyAlignment="1">
      <alignment horizontal="center"/>
    </xf>
    <xf numFmtId="166" fontId="27" fillId="0" borderId="68" xfId="1" applyFont="1" applyFill="1" applyBorder="1" applyAlignment="1">
      <alignment horizontal="center"/>
    </xf>
    <xf numFmtId="166" fontId="27" fillId="0" borderId="0" xfId="1" applyFont="1" applyFill="1" applyBorder="1" applyAlignment="1">
      <alignment horizontal="center"/>
    </xf>
    <xf numFmtId="0" fontId="27" fillId="0" borderId="62" xfId="3" applyFont="1" applyFill="1" applyBorder="1"/>
    <xf numFmtId="166" fontId="27" fillId="0" borderId="53" xfId="1" applyFont="1" applyFill="1" applyBorder="1" applyAlignment="1">
      <alignment horizontal="center"/>
    </xf>
    <xf numFmtId="166" fontId="23" fillId="0" borderId="0" xfId="1" applyFont="1" applyFill="1"/>
    <xf numFmtId="0" fontId="23" fillId="0" borderId="0" xfId="0" applyFont="1" applyFill="1"/>
    <xf numFmtId="166" fontId="27" fillId="0" borderId="82" xfId="1" applyFont="1" applyFill="1" applyBorder="1" applyAlignment="1">
      <alignment horizontal="center"/>
    </xf>
    <xf numFmtId="166" fontId="27" fillId="10" borderId="0" xfId="1" applyFont="1" applyFill="1" applyBorder="1" applyAlignment="1">
      <alignment horizontal="center"/>
    </xf>
    <xf numFmtId="166" fontId="27" fillId="11" borderId="102" xfId="1" applyFont="1" applyFill="1" applyBorder="1" applyAlignment="1">
      <alignment horizontal="center"/>
    </xf>
    <xf numFmtId="166" fontId="27" fillId="16" borderId="0" xfId="1" applyFont="1" applyFill="1" applyBorder="1" applyAlignment="1">
      <alignment horizontal="center"/>
    </xf>
    <xf numFmtId="166" fontId="27" fillId="0" borderId="28" xfId="1" applyFont="1" applyFill="1" applyBorder="1" applyAlignment="1">
      <alignment horizontal="center"/>
    </xf>
    <xf numFmtId="166" fontId="28" fillId="11" borderId="60" xfId="1" applyFont="1" applyFill="1" applyBorder="1" applyAlignment="1">
      <alignment horizontal="center"/>
    </xf>
    <xf numFmtId="166" fontId="27" fillId="0" borderId="103" xfId="1" applyFont="1" applyFill="1" applyBorder="1" applyAlignment="1">
      <alignment horizontal="center"/>
    </xf>
    <xf numFmtId="166" fontId="27" fillId="16" borderId="28" xfId="1" applyFont="1" applyFill="1" applyBorder="1" applyAlignment="1">
      <alignment horizontal="center"/>
    </xf>
    <xf numFmtId="166" fontId="27" fillId="0" borderId="65" xfId="1" applyFont="1" applyFill="1" applyBorder="1" applyAlignment="1">
      <alignment horizontal="center"/>
    </xf>
    <xf numFmtId="166" fontId="28" fillId="11" borderId="104" xfId="1" applyFont="1" applyFill="1" applyBorder="1" applyAlignment="1">
      <alignment horizontal="center"/>
    </xf>
    <xf numFmtId="166" fontId="27" fillId="0" borderId="105" xfId="1" applyFont="1" applyFill="1" applyBorder="1" applyAlignment="1">
      <alignment horizontal="center"/>
    </xf>
    <xf numFmtId="166" fontId="27" fillId="0" borderId="106" xfId="1" applyFont="1" applyFill="1" applyBorder="1" applyAlignment="1">
      <alignment horizontal="center"/>
    </xf>
    <xf numFmtId="166" fontId="27" fillId="0" borderId="107" xfId="1" applyFont="1" applyFill="1" applyBorder="1" applyAlignment="1">
      <alignment horizontal="center"/>
    </xf>
    <xf numFmtId="166" fontId="32" fillId="0" borderId="104" xfId="1" applyFont="1" applyFill="1" applyBorder="1" applyAlignment="1">
      <alignment horizontal="center"/>
    </xf>
    <xf numFmtId="0" fontId="0" fillId="0" borderId="0" xfId="0" applyAlignment="1">
      <alignment wrapText="1"/>
    </xf>
    <xf numFmtId="167" fontId="11" fillId="0" borderId="0" xfId="0" applyNumberFormat="1" applyFont="1" applyBorder="1" applyAlignment="1">
      <alignment horizontal="right" wrapText="1"/>
    </xf>
    <xf numFmtId="167" fontId="11" fillId="0" borderId="18" xfId="0" applyNumberFormat="1" applyFont="1" applyBorder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9" fillId="0" borderId="0" xfId="0" applyNumberFormat="1" applyFont="1" applyAlignment="1">
      <alignment horizontal="right" wrapText="1"/>
    </xf>
    <xf numFmtId="167" fontId="15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8" fontId="11" fillId="0" borderId="0" xfId="0" applyNumberFormat="1" applyFont="1" applyAlignment="1">
      <alignment horizontal="right" wrapText="1"/>
    </xf>
    <xf numFmtId="168" fontId="11" fillId="0" borderId="0" xfId="0" applyNumberFormat="1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3" fontId="9" fillId="0" borderId="18" xfId="0" applyNumberFormat="1" applyFont="1" applyBorder="1" applyAlignment="1">
      <alignment horizontal="right" wrapText="1"/>
    </xf>
    <xf numFmtId="0" fontId="20" fillId="0" borderId="0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0" fillId="0" borderId="0" xfId="0" applyFont="1" applyBorder="1" applyAlignment="1">
      <alignment vertical="top"/>
    </xf>
    <xf numFmtId="164" fontId="36" fillId="0" borderId="0" xfId="0" applyNumberFormat="1" applyFont="1" applyBorder="1" applyAlignment="1">
      <alignment vertical="top"/>
    </xf>
    <xf numFmtId="3" fontId="36" fillId="0" borderId="0" xfId="0" applyNumberFormat="1" applyFont="1" applyBorder="1" applyAlignment="1">
      <alignment vertical="top"/>
    </xf>
    <xf numFmtId="165" fontId="36" fillId="0" borderId="0" xfId="0" applyNumberFormat="1" applyFont="1" applyBorder="1" applyAlignment="1">
      <alignment vertical="top"/>
    </xf>
    <xf numFmtId="164" fontId="36" fillId="0" borderId="0" xfId="0" applyNumberFormat="1" applyFont="1" applyBorder="1"/>
    <xf numFmtId="0" fontId="0" fillId="0" borderId="20" xfId="0" applyFill="1" applyBorder="1"/>
    <xf numFmtId="0" fontId="10" fillId="0" borderId="17" xfId="0" applyFont="1" applyFill="1" applyBorder="1" applyAlignment="1">
      <alignment wrapText="1"/>
    </xf>
    <xf numFmtId="166" fontId="0" fillId="0" borderId="0" xfId="1" applyFont="1" applyFill="1" applyBorder="1"/>
    <xf numFmtId="0" fontId="37" fillId="0" borderId="0" xfId="0" applyFont="1"/>
    <xf numFmtId="0" fontId="37" fillId="0" borderId="27" xfId="0" applyFont="1" applyBorder="1"/>
    <xf numFmtId="0" fontId="37" fillId="0" borderId="28" xfId="0" applyFont="1" applyBorder="1"/>
    <xf numFmtId="0" fontId="37" fillId="0" borderId="108" xfId="0" applyFont="1" applyBorder="1"/>
    <xf numFmtId="0" fontId="37" fillId="0" borderId="109" xfId="0" applyFont="1" applyBorder="1"/>
    <xf numFmtId="0" fontId="37" fillId="0" borderId="4" xfId="0" applyFont="1" applyBorder="1"/>
    <xf numFmtId="0" fontId="37" fillId="0" borderId="110" xfId="0" applyFont="1" applyBorder="1"/>
    <xf numFmtId="0" fontId="0" fillId="0" borderId="5" xfId="0" applyBorder="1"/>
    <xf numFmtId="0" fontId="0" fillId="0" borderId="6" xfId="0" applyBorder="1"/>
    <xf numFmtId="4" fontId="0" fillId="0" borderId="111" xfId="0" applyNumberFormat="1" applyBorder="1"/>
    <xf numFmtId="0" fontId="0" fillId="0" borderId="3" xfId="0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7" fillId="17" borderId="1" xfId="0" applyFont="1" applyFill="1" applyBorder="1"/>
    <xf numFmtId="0" fontId="0" fillId="17" borderId="1" xfId="0" applyFill="1" applyBorder="1"/>
    <xf numFmtId="4" fontId="37" fillId="17" borderId="1" xfId="0" applyNumberFormat="1" applyFont="1" applyFill="1" applyBorder="1"/>
    <xf numFmtId="167" fontId="9" fillId="0" borderId="0" xfId="0" applyNumberFormat="1" applyFont="1" applyBorder="1" applyAlignment="1">
      <alignment horizontal="right" wrapText="1"/>
    </xf>
    <xf numFmtId="0" fontId="38" fillId="0" borderId="15" xfId="0" applyFont="1" applyBorder="1" applyAlignment="1">
      <alignment wrapText="1"/>
    </xf>
    <xf numFmtId="166" fontId="38" fillId="0" borderId="16" xfId="1" applyFont="1" applyBorder="1" applyAlignment="1">
      <alignment horizontal="right"/>
    </xf>
    <xf numFmtId="0" fontId="39" fillId="0" borderId="0" xfId="0" applyFont="1"/>
    <xf numFmtId="0" fontId="38" fillId="0" borderId="17" xfId="0" applyFont="1" applyBorder="1"/>
    <xf numFmtId="0" fontId="38" fillId="0" borderId="17" xfId="0" applyFont="1" applyBorder="1" applyAlignment="1">
      <alignment wrapText="1"/>
    </xf>
    <xf numFmtId="166" fontId="38" fillId="0" borderId="13" xfId="1" applyFont="1" applyBorder="1" applyAlignment="1">
      <alignment horizontal="right"/>
    </xf>
    <xf numFmtId="166" fontId="40" fillId="0" borderId="22" xfId="1" applyFont="1" applyBorder="1"/>
    <xf numFmtId="0" fontId="24" fillId="0" borderId="0" xfId="0" applyFont="1" applyFill="1"/>
    <xf numFmtId="166" fontId="35" fillId="0" borderId="0" xfId="1" applyFont="1" applyFill="1"/>
    <xf numFmtId="0" fontId="31" fillId="0" borderId="26" xfId="3" applyFont="1" applyFill="1" applyBorder="1" applyAlignment="1">
      <alignment horizontal="center"/>
    </xf>
    <xf numFmtId="166" fontId="31" fillId="0" borderId="26" xfId="1" applyFont="1" applyFill="1" applyBorder="1" applyAlignment="1">
      <alignment horizontal="center"/>
    </xf>
    <xf numFmtId="0" fontId="31" fillId="0" borderId="27" xfId="0" applyFont="1" applyFill="1" applyBorder="1"/>
    <xf numFmtId="166" fontId="31" fillId="0" borderId="28" xfId="1" applyFont="1" applyFill="1" applyBorder="1" applyAlignment="1">
      <alignment horizontal="center"/>
    </xf>
    <xf numFmtId="166" fontId="31" fillId="0" borderId="1" xfId="1" applyFont="1" applyFill="1" applyBorder="1" applyAlignment="1">
      <alignment horizontal="center"/>
    </xf>
    <xf numFmtId="166" fontId="31" fillId="0" borderId="83" xfId="1" applyFont="1" applyFill="1" applyBorder="1" applyAlignment="1">
      <alignment horizontal="center"/>
    </xf>
    <xf numFmtId="166" fontId="31" fillId="0" borderId="84" xfId="1" applyFont="1" applyFill="1" applyBorder="1" applyAlignment="1">
      <alignment horizontal="center"/>
    </xf>
    <xf numFmtId="0" fontId="31" fillId="0" borderId="3" xfId="0" applyFont="1" applyFill="1" applyBorder="1"/>
    <xf numFmtId="166" fontId="31" fillId="0" borderId="1" xfId="1" applyFont="1" applyFill="1" applyBorder="1" applyAlignment="1" applyProtection="1">
      <alignment horizontal="center"/>
    </xf>
    <xf numFmtId="0" fontId="31" fillId="0" borderId="30" xfId="0" applyFont="1" applyFill="1" applyBorder="1"/>
    <xf numFmtId="166" fontId="31" fillId="0" borderId="31" xfId="1" applyFont="1" applyFill="1" applyBorder="1" applyAlignment="1">
      <alignment horizontal="center"/>
    </xf>
    <xf numFmtId="0" fontId="35" fillId="0" borderId="7" xfId="0" applyFont="1" applyFill="1" applyBorder="1"/>
    <xf numFmtId="166" fontId="31" fillId="0" borderId="33" xfId="1" applyFont="1" applyFill="1" applyBorder="1" applyAlignment="1">
      <alignment horizontal="center"/>
    </xf>
    <xf numFmtId="166" fontId="31" fillId="0" borderId="60" xfId="1" applyFont="1" applyFill="1" applyBorder="1" applyAlignment="1">
      <alignment horizontal="center"/>
    </xf>
    <xf numFmtId="166" fontId="31" fillId="0" borderId="73" xfId="1" applyFont="1" applyFill="1" applyBorder="1" applyAlignment="1">
      <alignment horizontal="center" vertical="center"/>
    </xf>
    <xf numFmtId="166" fontId="31" fillId="0" borderId="17" xfId="1" applyFont="1" applyFill="1" applyBorder="1" applyAlignment="1">
      <alignment horizontal="center" vertical="center"/>
    </xf>
    <xf numFmtId="166" fontId="31" fillId="0" borderId="55" xfId="1" applyFont="1" applyFill="1" applyBorder="1" applyAlignment="1">
      <alignment horizontal="center" vertical="center"/>
    </xf>
    <xf numFmtId="166" fontId="31" fillId="0" borderId="74" xfId="1" applyFont="1" applyFill="1" applyBorder="1" applyAlignment="1">
      <alignment horizontal="center" vertical="center"/>
    </xf>
    <xf numFmtId="0" fontId="0" fillId="0" borderId="18" xfId="0" applyBorder="1" applyAlignment="1">
      <alignment wrapText="1"/>
    </xf>
  </cellXfs>
  <cellStyles count="7">
    <cellStyle name="Comma" xfId="1" builtinId="3"/>
    <cellStyle name="Normal" xfId="0" builtinId="0"/>
    <cellStyle name="Normal 2" xfId="5"/>
    <cellStyle name="Normal 2 2" xfId="6"/>
    <cellStyle name="Normal 3" xfId="4"/>
    <cellStyle name="Normal 4" xfId="2"/>
    <cellStyle name="Normal 5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khethiT/AppData/Roaming/Microsoft/Excel/Adjustments%20budget%2020112012/1.4%20&amp;%20Part%202%20-%20A1%20Schedule%20Municipal%20Budget%20-%20Ver%202-2.%20-%2031%20March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khethiT/AppData/Roaming/Microsoft/Excel/Other%20Documents/XDM%20-%20Draft%20budget%202013-14/Copy%20of%20A1%20Schedule%20-%20Ver%202.5%20-%20December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khethiT/AppData/Roaming/Microsoft/Excel/Program%20Files/CaseWare/Data/Xhariep%20District%20Municipality%20-%202011/A1%20Schedule%20Municipal%20Budget%20-%20Ver%202-2.%20-%2028%20November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khethiT/AppData/Roaming/Microsoft/Excel/Users/user/Desktop/2011%20Budget%2031%20Mar%202010/A1%20Schedule%20Municipal%20Budget%20-%20Ver%202-2.%20-%2028%20November%20200922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2">
          <cell r="B2" t="str">
            <v>2009/10</v>
          </cell>
        </row>
        <row r="3">
          <cell r="B3" t="str">
            <v>2008/9</v>
          </cell>
        </row>
        <row r="4">
          <cell r="B4" t="str">
            <v>2007/8</v>
          </cell>
        </row>
        <row r="5">
          <cell r="B5" t="str">
            <v>Current Year 2010/11</v>
          </cell>
        </row>
        <row r="7">
          <cell r="B7" t="str">
            <v>2011/12 Medium Term Revenue &amp; Expenditure Framework</v>
          </cell>
        </row>
        <row r="9">
          <cell r="B9" t="str">
            <v>Audited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2011/12</v>
          </cell>
        </row>
        <row r="17">
          <cell r="B17" t="str">
            <v>Budget Year +2 2013/14</v>
          </cell>
        </row>
        <row r="33">
          <cell r="B33" t="str">
            <v>Ref</v>
          </cell>
        </row>
        <row r="93">
          <cell r="B93" t="str">
            <v>DC16 Xhariep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>
        <row r="11">
          <cell r="B11" t="str">
            <v>Pre-audit outcome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1">
          <cell r="I71">
            <v>60503461.044210523</v>
          </cell>
        </row>
      </sheetData>
      <sheetData sheetId="9" refreshError="1"/>
      <sheetData sheetId="10" refreshError="1"/>
      <sheetData sheetId="11">
        <row r="22">
          <cell r="J22">
            <v>60503461.044210523</v>
          </cell>
        </row>
      </sheetData>
      <sheetData sheetId="12" refreshError="1"/>
      <sheetData sheetId="13" refreshError="1"/>
      <sheetData sheetId="14">
        <row r="48">
          <cell r="J48">
            <v>28713291.427914627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6">
          <cell r="R36">
            <v>100345332.37245676</v>
          </cell>
        </row>
      </sheetData>
      <sheetData sheetId="21">
        <row r="70">
          <cell r="J70">
            <v>28713291.427914619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45">
          <cell r="I45">
            <v>33706008.309919633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/>
      <sheetData sheetId="3"/>
      <sheetData sheetId="4">
        <row r="3">
          <cell r="B3" t="str">
            <v>#N/A!</v>
          </cell>
        </row>
        <row r="4">
          <cell r="B4" t="str">
            <v>#N/A!</v>
          </cell>
        </row>
        <row r="5">
          <cell r="B5" t="str">
            <v>#N/A!</v>
          </cell>
        </row>
        <row r="6">
          <cell r="B6" t="str">
            <v>#N/A!</v>
          </cell>
        </row>
        <row r="7">
          <cell r="B7" t="str">
            <v>#N/A!</v>
          </cell>
        </row>
        <row r="8">
          <cell r="B8" t="str">
            <v>#N/A!</v>
          </cell>
        </row>
        <row r="9">
          <cell r="B9" t="str">
            <v>#N/A!</v>
          </cell>
        </row>
        <row r="10">
          <cell r="B10" t="str">
            <v>#N/A!</v>
          </cell>
        </row>
        <row r="11">
          <cell r="B11" t="str">
            <v>#N/A!</v>
          </cell>
        </row>
        <row r="12">
          <cell r="B12" t="str">
            <v>#N/A!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/>
      <sheetData sheetId="3"/>
      <sheetData sheetId="4">
        <row r="14">
          <cell r="B14" t="str">
            <v>Office of the Municipal Manager</v>
          </cell>
        </row>
        <row r="15">
          <cell r="B15" t="str">
            <v>Internal Audit</v>
          </cell>
        </row>
        <row r="16">
          <cell r="B16" t="str">
            <v>Performance and Monitoring Management</v>
          </cell>
        </row>
        <row r="17">
          <cell r="B17" t="str">
            <v>Risk Office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 t="str">
            <v>Office of the CFO</v>
          </cell>
        </row>
        <row r="26">
          <cell r="B26" t="str">
            <v>Supply Chain Management</v>
          </cell>
        </row>
        <row r="27">
          <cell r="B27" t="str">
            <v>Expenditure</v>
          </cell>
        </row>
        <row r="28">
          <cell r="B28" t="str">
            <v xml:space="preserve">Budget &amp; Reporting 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C20" sqref="C20"/>
    </sheetView>
  </sheetViews>
  <sheetFormatPr defaultRowHeight="15"/>
  <cols>
    <col min="1" max="1" width="32.85546875" style="1" customWidth="1"/>
    <col min="2" max="2" width="54" style="1" customWidth="1"/>
    <col min="3" max="3" width="16.140625" style="6" customWidth="1"/>
    <col min="4" max="4" width="9.140625" style="1"/>
    <col min="5" max="5" width="25.140625" style="1" customWidth="1"/>
    <col min="6" max="7" width="10.85546875" style="1" bestFit="1" customWidth="1"/>
    <col min="8" max="8" width="13.42578125" style="1" bestFit="1" customWidth="1"/>
    <col min="9" max="16384" width="9.140625" style="1"/>
  </cols>
  <sheetData>
    <row r="1" spans="1:8" ht="23.25">
      <c r="A1" s="39" t="s">
        <v>263</v>
      </c>
      <c r="B1" s="40"/>
    </row>
    <row r="2" spans="1:8" ht="15.75" thickBot="1"/>
    <row r="3" spans="1:8" ht="29.25" customHeight="1" thickBot="1">
      <c r="A3" s="61" t="s">
        <v>86</v>
      </c>
      <c r="B3" s="61" t="s">
        <v>88</v>
      </c>
      <c r="C3" s="229" t="s">
        <v>87</v>
      </c>
    </row>
    <row r="4" spans="1:8" ht="15.75" thickBot="1">
      <c r="A4" s="60"/>
      <c r="B4" s="59"/>
      <c r="C4" s="230"/>
    </row>
    <row r="5" spans="1:8">
      <c r="A5" s="57" t="s">
        <v>106</v>
      </c>
      <c r="B5" s="352" t="s">
        <v>331</v>
      </c>
      <c r="C5" s="231">
        <v>27500</v>
      </c>
      <c r="E5" s="354"/>
    </row>
    <row r="6" spans="1:8">
      <c r="A6" s="64"/>
      <c r="B6" s="352" t="s">
        <v>330</v>
      </c>
      <c r="C6" s="232">
        <v>700000</v>
      </c>
      <c r="E6" s="354"/>
    </row>
    <row r="7" spans="1:8">
      <c r="A7" s="64"/>
      <c r="B7" s="353" t="s">
        <v>21</v>
      </c>
      <c r="C7" s="232">
        <v>165000</v>
      </c>
      <c r="E7" s="354"/>
    </row>
    <row r="8" spans="1:8">
      <c r="A8" s="64"/>
      <c r="B8" s="353" t="s">
        <v>332</v>
      </c>
      <c r="C8" s="232">
        <v>90000</v>
      </c>
      <c r="E8" s="354"/>
    </row>
    <row r="9" spans="1:8">
      <c r="A9" s="64"/>
      <c r="B9" s="353" t="s">
        <v>33</v>
      </c>
      <c r="C9" s="232">
        <v>200000</v>
      </c>
      <c r="E9" s="354"/>
    </row>
    <row r="10" spans="1:8">
      <c r="A10" s="64"/>
      <c r="B10" s="353" t="s">
        <v>333</v>
      </c>
      <c r="C10" s="232">
        <v>15000</v>
      </c>
      <c r="E10" s="354"/>
    </row>
    <row r="11" spans="1:8" ht="15.75" thickBot="1">
      <c r="A11" s="64"/>
      <c r="B11" s="10" t="s">
        <v>264</v>
      </c>
      <c r="C11" s="232">
        <f>934000/4</f>
        <v>233500</v>
      </c>
      <c r="E11" s="46"/>
    </row>
    <row r="12" spans="1:8" ht="15.75" thickBot="1">
      <c r="A12" s="41"/>
      <c r="B12" s="10"/>
      <c r="C12" s="233">
        <f>SUM(C5:C11)</f>
        <v>1431000</v>
      </c>
      <c r="E12" s="46"/>
    </row>
    <row r="13" spans="1:8" ht="16.5" thickBot="1">
      <c r="A13" s="58" t="s">
        <v>107</v>
      </c>
      <c r="B13" s="10" t="s">
        <v>334</v>
      </c>
      <c r="C13" s="232">
        <v>1150000</v>
      </c>
      <c r="E13" s="355"/>
      <c r="H13" s="6"/>
    </row>
    <row r="14" spans="1:8" ht="16.5" thickBot="1">
      <c r="A14" s="58"/>
      <c r="B14" s="10" t="s">
        <v>335</v>
      </c>
      <c r="C14" s="232">
        <v>1200000</v>
      </c>
      <c r="E14" s="355"/>
      <c r="H14" s="6"/>
    </row>
    <row r="15" spans="1:8" ht="16.5" thickBot="1">
      <c r="A15" s="64"/>
      <c r="B15" s="10" t="s">
        <v>336</v>
      </c>
      <c r="C15" s="232">
        <v>2500000</v>
      </c>
      <c r="E15" s="355"/>
      <c r="H15" s="6"/>
    </row>
    <row r="16" spans="1:8" ht="16.5" thickBot="1">
      <c r="A16" s="64"/>
      <c r="B16" s="10" t="s">
        <v>89</v>
      </c>
      <c r="C16" s="232">
        <v>1080000</v>
      </c>
      <c r="E16" s="356"/>
      <c r="H16" s="6"/>
    </row>
    <row r="17" spans="1:8" ht="16.5" thickBot="1">
      <c r="A17" s="64"/>
      <c r="B17" s="10" t="s">
        <v>337</v>
      </c>
      <c r="C17" s="232">
        <v>50000</v>
      </c>
      <c r="E17" s="355"/>
      <c r="H17" s="6"/>
    </row>
    <row r="18" spans="1:8" ht="16.5" thickBot="1">
      <c r="A18" s="64"/>
      <c r="B18" s="10" t="s">
        <v>338</v>
      </c>
      <c r="C18" s="232">
        <v>1150000</v>
      </c>
      <c r="E18" s="355"/>
      <c r="H18" s="6"/>
    </row>
    <row r="19" spans="1:8" ht="16.5" thickBot="1">
      <c r="A19" s="64"/>
      <c r="B19" s="10" t="s">
        <v>339</v>
      </c>
      <c r="C19" s="232">
        <v>30000</v>
      </c>
      <c r="E19" s="355"/>
      <c r="H19" s="6"/>
    </row>
    <row r="20" spans="1:8" ht="16.5" thickBot="1">
      <c r="A20" s="64"/>
      <c r="B20" s="10" t="s">
        <v>340</v>
      </c>
      <c r="C20" s="232">
        <v>150000</v>
      </c>
      <c r="E20" s="357"/>
      <c r="H20" s="6"/>
    </row>
    <row r="21" spans="1:8" ht="16.5" thickBot="1">
      <c r="A21" s="64"/>
      <c r="B21" s="10" t="s">
        <v>341</v>
      </c>
      <c r="C21" s="232">
        <v>900000</v>
      </c>
      <c r="E21" s="358"/>
      <c r="H21" s="6"/>
    </row>
    <row r="22" spans="1:8" s="2" customFormat="1" ht="15.75" thickBot="1">
      <c r="A22" s="359"/>
      <c r="B22" s="360" t="s">
        <v>270</v>
      </c>
      <c r="C22" s="260">
        <v>1852000</v>
      </c>
      <c r="E22" s="361"/>
      <c r="F22" s="261"/>
      <c r="H22" s="261"/>
    </row>
    <row r="23" spans="1:8" ht="15.75" thickBot="1">
      <c r="A23" s="41"/>
      <c r="B23" s="10"/>
      <c r="C23" s="233">
        <f>SUM(C13:C22)</f>
        <v>10062000</v>
      </c>
      <c r="E23" s="46"/>
    </row>
    <row r="24" spans="1:8" ht="15.75" thickBot="1">
      <c r="A24" s="58" t="s">
        <v>105</v>
      </c>
      <c r="B24" s="10" t="s">
        <v>265</v>
      </c>
      <c r="C24" s="234">
        <v>750000</v>
      </c>
      <c r="E24" s="46"/>
    </row>
    <row r="25" spans="1:8" ht="15.75" thickBot="1">
      <c r="A25" s="58"/>
      <c r="B25" s="10" t="s">
        <v>342</v>
      </c>
      <c r="C25" s="234">
        <f>934000/4</f>
        <v>233500</v>
      </c>
      <c r="E25" s="46"/>
    </row>
    <row r="26" spans="1:8" ht="15.75" thickBot="1">
      <c r="A26" s="65"/>
      <c r="B26" s="10"/>
      <c r="C26" s="233">
        <f>SUM(C24:C25)</f>
        <v>983500</v>
      </c>
    </row>
    <row r="27" spans="1:8" s="2" customFormat="1" ht="15.75" thickBot="1">
      <c r="A27" s="258" t="s">
        <v>41</v>
      </c>
      <c r="B27" s="259" t="s">
        <v>266</v>
      </c>
      <c r="C27" s="260">
        <v>200000</v>
      </c>
    </row>
    <row r="28" spans="1:8" s="2" customFormat="1" ht="15.75" thickBot="1">
      <c r="A28" s="258"/>
      <c r="B28" s="259" t="s">
        <v>266</v>
      </c>
      <c r="C28" s="260">
        <v>1000000</v>
      </c>
    </row>
    <row r="29" spans="1:8" s="2" customFormat="1" ht="15.75" thickBot="1">
      <c r="A29" s="258"/>
      <c r="B29" s="259" t="s">
        <v>266</v>
      </c>
      <c r="C29" s="260">
        <v>500000</v>
      </c>
    </row>
    <row r="30" spans="1:8" s="2" customFormat="1" ht="15.75" thickBot="1">
      <c r="A30" s="258"/>
      <c r="B30" s="259" t="s">
        <v>291</v>
      </c>
      <c r="C30" s="260">
        <v>800000</v>
      </c>
    </row>
    <row r="31" spans="1:8" s="2" customFormat="1" ht="15.75" thickBot="1">
      <c r="A31" s="258"/>
      <c r="B31" s="259" t="s">
        <v>112</v>
      </c>
      <c r="C31" s="260">
        <v>150000</v>
      </c>
    </row>
    <row r="32" spans="1:8" s="2" customFormat="1" ht="15.75" thickBot="1">
      <c r="A32" s="258"/>
      <c r="B32" s="259" t="s">
        <v>292</v>
      </c>
      <c r="C32" s="260">
        <v>900000</v>
      </c>
    </row>
    <row r="33" spans="1:3" ht="15.75" thickBot="1">
      <c r="A33" s="58"/>
      <c r="B33" s="11" t="s">
        <v>267</v>
      </c>
      <c r="C33" s="234">
        <f>890000/4</f>
        <v>222500</v>
      </c>
    </row>
    <row r="34" spans="1:3" ht="15.75" thickBot="1">
      <c r="A34" s="41"/>
      <c r="B34" s="66"/>
      <c r="C34" s="233">
        <f>SUM(C27:C33)</f>
        <v>3772500</v>
      </c>
    </row>
    <row r="35" spans="1:3" s="2" customFormat="1" ht="15.75" thickBot="1">
      <c r="A35" s="38" t="s">
        <v>29</v>
      </c>
      <c r="B35" s="11" t="s">
        <v>111</v>
      </c>
      <c r="C35" s="235">
        <v>50000</v>
      </c>
    </row>
    <row r="36" spans="1:3" s="2" customFormat="1" ht="15.75" thickBot="1">
      <c r="A36" s="38"/>
      <c r="B36" s="11" t="s">
        <v>271</v>
      </c>
      <c r="C36" s="238">
        <v>1200000</v>
      </c>
    </row>
    <row r="37" spans="1:3" s="2" customFormat="1" ht="15.75" thickBot="1">
      <c r="A37" s="3"/>
      <c r="B37" s="11" t="s">
        <v>268</v>
      </c>
      <c r="C37" s="234">
        <f>890000/4</f>
        <v>222500</v>
      </c>
    </row>
    <row r="38" spans="1:3" s="2" customFormat="1" ht="15.75" thickBot="1">
      <c r="A38" s="3"/>
      <c r="B38" s="68"/>
      <c r="C38" s="233">
        <f>SUM(C35:C37)</f>
        <v>1472500</v>
      </c>
    </row>
    <row r="39" spans="1:3" s="2" customFormat="1" ht="15.75" thickBot="1">
      <c r="A39" s="3"/>
      <c r="B39" s="3"/>
      <c r="C39" s="236"/>
    </row>
    <row r="40" spans="1:3" ht="15.75" thickBot="1">
      <c r="A40" s="67" t="s">
        <v>108</v>
      </c>
      <c r="B40" s="66"/>
      <c r="C40" s="237">
        <f>C12+C23+C26+C34+C38</f>
        <v>17721500</v>
      </c>
    </row>
  </sheetData>
  <autoFilter ref="A4:F40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0"/>
  <sheetViews>
    <sheetView topLeftCell="B40" zoomScaleNormal="100" workbookViewId="0">
      <selection activeCell="G22" sqref="G22"/>
    </sheetView>
  </sheetViews>
  <sheetFormatPr defaultRowHeight="15"/>
  <cols>
    <col min="1" max="1" width="43.140625" bestFit="1" customWidth="1"/>
    <col min="2" max="2" width="13.42578125" style="262" bestFit="1" customWidth="1"/>
    <col min="3" max="3" width="10.85546875" style="262" bestFit="1" customWidth="1"/>
    <col min="4" max="4" width="11.28515625" style="262" bestFit="1" customWidth="1"/>
    <col min="5" max="6" width="12.28515625" style="262" bestFit="1" customWidth="1"/>
    <col min="7" max="9" width="12.42578125" style="262" bestFit="1" customWidth="1"/>
    <col min="10" max="10" width="12.28515625" style="262" bestFit="1" customWidth="1"/>
    <col min="11" max="12" width="10.85546875" style="262" bestFit="1" customWidth="1"/>
    <col min="13" max="13" width="8.85546875" style="262" bestFit="1" customWidth="1"/>
    <col min="14" max="14" width="12.140625" style="262" bestFit="1" customWidth="1"/>
    <col min="15" max="15" width="13.42578125" style="262" bestFit="1" customWidth="1"/>
    <col min="16" max="16" width="13.42578125" style="261" bestFit="1" customWidth="1"/>
    <col min="17" max="17" width="12.42578125" style="6" bestFit="1" customWidth="1"/>
    <col min="18" max="18" width="9.140625" style="6"/>
  </cols>
  <sheetData>
    <row r="1" spans="1:12">
      <c r="A1" s="386" t="s">
        <v>239</v>
      </c>
      <c r="B1" s="387"/>
      <c r="C1" s="228"/>
      <c r="D1" s="228"/>
      <c r="E1" s="228"/>
      <c r="F1" s="228"/>
      <c r="G1" s="228"/>
      <c r="H1" s="228"/>
      <c r="I1" s="228"/>
      <c r="J1" s="228"/>
      <c r="K1" s="228"/>
    </row>
    <row r="2" spans="1:12" ht="15.75" thickBot="1">
      <c r="A2" s="286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5.75" thickBot="1">
      <c r="A3" s="388"/>
      <c r="B3" s="389" t="s">
        <v>114</v>
      </c>
      <c r="C3" s="389" t="s">
        <v>115</v>
      </c>
      <c r="D3" s="402" t="s">
        <v>116</v>
      </c>
      <c r="E3" s="389" t="s">
        <v>117</v>
      </c>
      <c r="F3" s="389" t="s">
        <v>118</v>
      </c>
      <c r="G3" s="389" t="s">
        <v>119</v>
      </c>
      <c r="H3" s="402" t="s">
        <v>120</v>
      </c>
      <c r="I3" s="389" t="s">
        <v>121</v>
      </c>
      <c r="J3" s="402" t="s">
        <v>122</v>
      </c>
      <c r="K3" s="404" t="s">
        <v>123</v>
      </c>
    </row>
    <row r="4" spans="1:12" ht="15.75" thickBot="1">
      <c r="A4" s="388"/>
      <c r="B4" s="389" t="s">
        <v>124</v>
      </c>
      <c r="C4" s="389" t="s">
        <v>124</v>
      </c>
      <c r="D4" s="403"/>
      <c r="E4" s="389" t="s">
        <v>124</v>
      </c>
      <c r="F4" s="389" t="s">
        <v>125</v>
      </c>
      <c r="G4" s="389" t="s">
        <v>126</v>
      </c>
      <c r="H4" s="403"/>
      <c r="I4" s="389" t="s">
        <v>124</v>
      </c>
      <c r="J4" s="403"/>
      <c r="K4" s="405"/>
      <c r="L4" s="263"/>
    </row>
    <row r="5" spans="1:12" ht="15.75" thickBot="1">
      <c r="A5" s="390" t="s">
        <v>127</v>
      </c>
      <c r="B5" s="391">
        <f>158111.4*107/100</f>
        <v>169179.198</v>
      </c>
      <c r="C5" s="391">
        <v>0</v>
      </c>
      <c r="D5" s="391">
        <v>0</v>
      </c>
      <c r="E5" s="392">
        <f>2039*12</f>
        <v>24468</v>
      </c>
      <c r="F5" s="392">
        <f>1793.33*12</f>
        <v>21519.96</v>
      </c>
      <c r="G5" s="393">
        <f>1976.39*12</f>
        <v>23716.68</v>
      </c>
      <c r="H5" s="391">
        <v>0</v>
      </c>
      <c r="I5" s="391">
        <v>0</v>
      </c>
      <c r="J5" s="394">
        <f>160.2*12</f>
        <v>1922.3999999999999</v>
      </c>
      <c r="K5" s="394">
        <f>SUM(B5:J5)</f>
        <v>240806.23799999998</v>
      </c>
      <c r="L5" s="326"/>
    </row>
    <row r="6" spans="1:12" ht="15.75" thickBot="1">
      <c r="A6" s="395" t="s">
        <v>128</v>
      </c>
      <c r="B6" s="392">
        <f>127185.24*107/100</f>
        <v>136088.20679999999</v>
      </c>
      <c r="C6" s="392">
        <v>0</v>
      </c>
      <c r="D6" s="392">
        <f>3410.41*12</f>
        <v>40924.92</v>
      </c>
      <c r="E6" s="392">
        <f>2039*12</f>
        <v>24468</v>
      </c>
      <c r="F6" s="392">
        <f>1346.67*12</f>
        <v>16160.04</v>
      </c>
      <c r="G6" s="393">
        <f>1589.82*12</f>
        <v>19077.84</v>
      </c>
      <c r="H6" s="392">
        <v>0</v>
      </c>
      <c r="I6" s="392">
        <v>0</v>
      </c>
      <c r="J6" s="394">
        <f>166*12</f>
        <v>1992</v>
      </c>
      <c r="K6" s="394">
        <f t="shared" ref="K6:K18" si="0">SUM(B6:J6)</f>
        <v>238711.00679999997</v>
      </c>
      <c r="L6" s="326"/>
    </row>
    <row r="7" spans="1:12" ht="15.75" thickBot="1">
      <c r="A7" s="395" t="s">
        <v>129</v>
      </c>
      <c r="B7" s="392">
        <v>0</v>
      </c>
      <c r="C7" s="392">
        <v>0</v>
      </c>
      <c r="D7" s="392">
        <v>0</v>
      </c>
      <c r="E7" s="392">
        <v>0</v>
      </c>
      <c r="F7" s="392">
        <v>0</v>
      </c>
      <c r="G7" s="393">
        <f>B7*18.07%</f>
        <v>0</v>
      </c>
      <c r="H7" s="392">
        <v>0</v>
      </c>
      <c r="I7" s="392">
        <f>20568*107/100</f>
        <v>22007.759999999998</v>
      </c>
      <c r="J7" s="394">
        <f>20.54*12</f>
        <v>246.48</v>
      </c>
      <c r="K7" s="394">
        <f t="shared" si="0"/>
        <v>22254.239999999998</v>
      </c>
      <c r="L7" s="326"/>
    </row>
    <row r="8" spans="1:12" ht="15.75" thickBot="1">
      <c r="A8" s="395" t="s">
        <v>130</v>
      </c>
      <c r="B8" s="392">
        <f>113070.6*107/100</f>
        <v>120985.54200000002</v>
      </c>
      <c r="C8" s="392">
        <f>3410.41*12</f>
        <v>40924.92</v>
      </c>
      <c r="D8" s="392">
        <v>0</v>
      </c>
      <c r="E8" s="392">
        <f>2039*12</f>
        <v>24468</v>
      </c>
      <c r="F8" s="392">
        <f>2699.33*12</f>
        <v>32391.96</v>
      </c>
      <c r="G8" s="393">
        <f>1413.38*12</f>
        <v>16960.560000000001</v>
      </c>
      <c r="H8" s="392">
        <v>0</v>
      </c>
      <c r="I8" s="392">
        <v>0</v>
      </c>
      <c r="J8" s="394">
        <f>162.68*12</f>
        <v>1952.16</v>
      </c>
      <c r="K8" s="394">
        <f t="shared" si="0"/>
        <v>237683.14199999999</v>
      </c>
      <c r="L8" s="326"/>
    </row>
    <row r="9" spans="1:12" ht="15.75" thickBot="1">
      <c r="A9" s="395" t="s">
        <v>131</v>
      </c>
      <c r="B9" s="392">
        <f>469970.04*107/100</f>
        <v>502867.94280000002</v>
      </c>
      <c r="C9" s="392">
        <f>3200*12</f>
        <v>38400</v>
      </c>
      <c r="D9" s="392">
        <v>0</v>
      </c>
      <c r="E9" s="392">
        <f>2039*12</f>
        <v>24468</v>
      </c>
      <c r="F9" s="392">
        <v>0</v>
      </c>
      <c r="G9" s="393">
        <v>0</v>
      </c>
      <c r="H9" s="392">
        <v>0</v>
      </c>
      <c r="I9" s="392">
        <v>0</v>
      </c>
      <c r="J9" s="394">
        <f>437.63*12</f>
        <v>5251.5599999999995</v>
      </c>
      <c r="K9" s="394">
        <f t="shared" si="0"/>
        <v>570987.50280000013</v>
      </c>
      <c r="L9" s="326"/>
    </row>
    <row r="10" spans="1:12" ht="15.75" thickBot="1">
      <c r="A10" s="395" t="s">
        <v>132</v>
      </c>
      <c r="B10" s="392">
        <f>251031.72*107/100</f>
        <v>268603.94039999996</v>
      </c>
      <c r="C10" s="392">
        <f>5684.02*12</f>
        <v>68208.240000000005</v>
      </c>
      <c r="D10" s="392">
        <v>0</v>
      </c>
      <c r="E10" s="392">
        <f>300*12</f>
        <v>3600</v>
      </c>
      <c r="F10" s="392">
        <f>2718*12</f>
        <v>32616</v>
      </c>
      <c r="G10" s="393">
        <v>0</v>
      </c>
      <c r="H10" s="392">
        <v>0</v>
      </c>
      <c r="I10" s="392">
        <v>0</v>
      </c>
      <c r="J10" s="394">
        <f>298.45*12</f>
        <v>3581.3999999999996</v>
      </c>
      <c r="K10" s="394">
        <f t="shared" si="0"/>
        <v>376609.58039999998</v>
      </c>
      <c r="L10" s="326"/>
    </row>
    <row r="11" spans="1:12" ht="15.75" thickBot="1">
      <c r="A11" s="395" t="s">
        <v>133</v>
      </c>
      <c r="B11" s="392">
        <f>230713.56*107/100</f>
        <v>246863.50919999997</v>
      </c>
      <c r="C11" s="392">
        <f>5115.62*12</f>
        <v>61387.44</v>
      </c>
      <c r="D11" s="392">
        <v>0</v>
      </c>
      <c r="E11" s="392">
        <f>300*12</f>
        <v>3600</v>
      </c>
      <c r="F11" s="392">
        <f>2155.33*12</f>
        <v>25863.96</v>
      </c>
      <c r="G11" s="393">
        <v>0</v>
      </c>
      <c r="H11" s="392">
        <v>0</v>
      </c>
      <c r="I11" s="392">
        <v>0</v>
      </c>
      <c r="J11" s="394">
        <f>257.74*12</f>
        <v>3092.88</v>
      </c>
      <c r="K11" s="394">
        <f t="shared" si="0"/>
        <v>340807.7892</v>
      </c>
      <c r="L11" s="326"/>
    </row>
    <row r="12" spans="1:12" ht="15.75" thickBot="1">
      <c r="A12" s="395" t="s">
        <v>134</v>
      </c>
      <c r="B12" s="396">
        <v>0</v>
      </c>
      <c r="C12" s="392">
        <v>0</v>
      </c>
      <c r="D12" s="392">
        <v>0</v>
      </c>
      <c r="E12" s="392">
        <v>0</v>
      </c>
      <c r="F12" s="392">
        <v>0</v>
      </c>
      <c r="G12" s="393">
        <f t="shared" ref="G12:G13" si="1">B12*18.07%</f>
        <v>0</v>
      </c>
      <c r="H12" s="392">
        <v>0</v>
      </c>
      <c r="I12" s="392">
        <f>20568*107/100</f>
        <v>22007.759999999998</v>
      </c>
      <c r="J12" s="394">
        <f>20.54*12</f>
        <v>246.48</v>
      </c>
      <c r="K12" s="394">
        <f t="shared" si="0"/>
        <v>22254.239999999998</v>
      </c>
      <c r="L12" s="326"/>
    </row>
    <row r="13" spans="1:12" ht="15.75" thickBot="1">
      <c r="A13" s="395" t="s">
        <v>135</v>
      </c>
      <c r="B13" s="392">
        <v>0</v>
      </c>
      <c r="C13" s="392">
        <v>0</v>
      </c>
      <c r="D13" s="392">
        <v>0</v>
      </c>
      <c r="E13" s="392">
        <v>0</v>
      </c>
      <c r="F13" s="392">
        <v>0</v>
      </c>
      <c r="G13" s="393">
        <f t="shared" si="1"/>
        <v>0</v>
      </c>
      <c r="H13" s="392">
        <v>0</v>
      </c>
      <c r="I13" s="392">
        <f>20568*107/100</f>
        <v>22007.759999999998</v>
      </c>
      <c r="J13" s="394">
        <f>22.24*12</f>
        <v>266.88</v>
      </c>
      <c r="K13" s="394">
        <f t="shared" si="0"/>
        <v>22274.639999999999</v>
      </c>
      <c r="L13" s="326"/>
    </row>
    <row r="14" spans="1:12" ht="15.75" thickBot="1">
      <c r="A14" s="395" t="s">
        <v>136</v>
      </c>
      <c r="B14" s="392">
        <f>57615*107/100</f>
        <v>61648.05</v>
      </c>
      <c r="C14" s="392">
        <v>0</v>
      </c>
      <c r="D14" s="392">
        <v>0</v>
      </c>
      <c r="E14" s="392">
        <f>706*12</f>
        <v>8472</v>
      </c>
      <c r="F14" s="392">
        <v>0</v>
      </c>
      <c r="G14" s="393">
        <v>0</v>
      </c>
      <c r="H14" s="392">
        <v>0</v>
      </c>
      <c r="I14" s="392">
        <v>0</v>
      </c>
      <c r="J14" s="394">
        <f>55.92*12</f>
        <v>671.04</v>
      </c>
      <c r="K14" s="394">
        <f t="shared" si="0"/>
        <v>70791.09</v>
      </c>
      <c r="L14" s="326"/>
    </row>
    <row r="15" spans="1:12" ht="15.75" thickBot="1">
      <c r="A15" s="395" t="s">
        <v>137</v>
      </c>
      <c r="B15" s="392">
        <f>76329*107/100</f>
        <v>81672.03</v>
      </c>
      <c r="C15" s="392">
        <v>0</v>
      </c>
      <c r="D15" s="392">
        <v>0</v>
      </c>
      <c r="E15" s="392">
        <f>806*12</f>
        <v>9672</v>
      </c>
      <c r="F15" s="392">
        <v>0</v>
      </c>
      <c r="G15" s="393">
        <v>0</v>
      </c>
      <c r="H15" s="392">
        <v>0</v>
      </c>
      <c r="I15" s="392">
        <v>0</v>
      </c>
      <c r="J15" s="394">
        <f>74.22*12</f>
        <v>890.64</v>
      </c>
      <c r="K15" s="394">
        <f t="shared" si="0"/>
        <v>92234.67</v>
      </c>
      <c r="L15" s="326"/>
    </row>
    <row r="16" spans="1:12" ht="15.75" thickBot="1">
      <c r="A16" s="395" t="s">
        <v>138</v>
      </c>
      <c r="B16" s="392">
        <f>113070.6*107/100</f>
        <v>120985.54200000002</v>
      </c>
      <c r="C16" s="392">
        <f>3410.41*12</f>
        <v>40924.92</v>
      </c>
      <c r="D16" s="392">
        <v>0</v>
      </c>
      <c r="E16" s="392">
        <f>2039*12</f>
        <v>24468</v>
      </c>
      <c r="F16" s="392">
        <f>2699.33*12</f>
        <v>32391.96</v>
      </c>
      <c r="G16" s="393">
        <f>1413.38*12</f>
        <v>16960.560000000001</v>
      </c>
      <c r="H16" s="392">
        <v>0</v>
      </c>
      <c r="I16" s="392">
        <v>0</v>
      </c>
      <c r="J16" s="394">
        <f>191.89*12</f>
        <v>2302.6799999999998</v>
      </c>
      <c r="K16" s="394">
        <f t="shared" si="0"/>
        <v>238033.66199999998</v>
      </c>
      <c r="L16" s="326"/>
    </row>
    <row r="17" spans="1:17" ht="15.75" thickBot="1">
      <c r="A17" s="395" t="s">
        <v>139</v>
      </c>
      <c r="B17" s="392">
        <f>162423.12*107/100</f>
        <v>173792.7384</v>
      </c>
      <c r="C17" s="392">
        <f>3410.41*12</f>
        <v>40924.92</v>
      </c>
      <c r="D17" s="392">
        <v>0</v>
      </c>
      <c r="E17" s="392">
        <f>2039*12</f>
        <v>24468</v>
      </c>
      <c r="F17" s="392">
        <v>0</v>
      </c>
      <c r="G17" s="393">
        <v>0</v>
      </c>
      <c r="H17" s="392">
        <v>0</v>
      </c>
      <c r="I17" s="392">
        <v>0</v>
      </c>
      <c r="J17" s="394">
        <f>184.72*12</f>
        <v>2216.64</v>
      </c>
      <c r="K17" s="394">
        <f t="shared" si="0"/>
        <v>241402.29840000003</v>
      </c>
      <c r="L17" s="326"/>
    </row>
    <row r="18" spans="1:17" ht="15.75" thickBot="1">
      <c r="A18" s="395" t="s">
        <v>140</v>
      </c>
      <c r="B18" s="392">
        <f>453761.76*107/100</f>
        <v>485525.08319999999</v>
      </c>
      <c r="C18" s="392">
        <v>0</v>
      </c>
      <c r="D18" s="392">
        <f>13000*12</f>
        <v>156000</v>
      </c>
      <c r="E18" s="392">
        <f>2039*12</f>
        <v>24468</v>
      </c>
      <c r="F18" s="392">
        <v>0</v>
      </c>
      <c r="G18" s="393">
        <f>5672.02*12</f>
        <v>68064.240000000005</v>
      </c>
      <c r="H18" s="392">
        <v>0</v>
      </c>
      <c r="I18" s="392">
        <v>0</v>
      </c>
      <c r="J18" s="394">
        <f>568.24*12</f>
        <v>6818.88</v>
      </c>
      <c r="K18" s="394">
        <f t="shared" si="0"/>
        <v>740876.20319999999</v>
      </c>
      <c r="L18" s="326"/>
    </row>
    <row r="19" spans="1:17" ht="15.75" thickBot="1">
      <c r="A19" s="395" t="s">
        <v>141</v>
      </c>
      <c r="B19" s="392">
        <f>161615.28*107/100</f>
        <v>172928.34960000002</v>
      </c>
      <c r="C19" s="392">
        <f>5115.62*12</f>
        <v>61387.44</v>
      </c>
      <c r="D19" s="392">
        <f>4100*12</f>
        <v>49200</v>
      </c>
      <c r="E19" s="392">
        <f>2039*12</f>
        <v>24468</v>
      </c>
      <c r="F19" s="392">
        <f>1793.33*12</f>
        <v>21519.96</v>
      </c>
      <c r="G19" s="393">
        <f>2020.19*12</f>
        <v>24242.28</v>
      </c>
      <c r="H19" s="392">
        <v>0</v>
      </c>
      <c r="I19" s="392">
        <v>0</v>
      </c>
      <c r="J19" s="394">
        <f>246.53*12</f>
        <v>2958.36</v>
      </c>
      <c r="K19" s="394">
        <f>SUM(B19:J19)</f>
        <v>356704.38959999999</v>
      </c>
      <c r="L19" s="326"/>
    </row>
    <row r="20" spans="1:17" ht="15.75" thickBot="1">
      <c r="A20" s="397" t="s">
        <v>142</v>
      </c>
      <c r="B20" s="398">
        <f>18714*107/100</f>
        <v>20023.98</v>
      </c>
      <c r="C20" s="398">
        <v>0</v>
      </c>
      <c r="D20" s="398">
        <v>0</v>
      </c>
      <c r="E20" s="398">
        <v>0</v>
      </c>
      <c r="F20" s="398">
        <v>0</v>
      </c>
      <c r="G20" s="393">
        <v>0</v>
      </c>
      <c r="H20" s="398">
        <v>0</v>
      </c>
      <c r="I20" s="398">
        <v>0</v>
      </c>
      <c r="J20" s="394">
        <f>15.6*12</f>
        <v>187.2</v>
      </c>
      <c r="K20" s="394">
        <f>SUM(B20:J20)</f>
        <v>20211.18</v>
      </c>
      <c r="L20" s="326"/>
    </row>
    <row r="21" spans="1:17" ht="15.75" thickBot="1">
      <c r="A21" s="399"/>
      <c r="B21" s="400">
        <f>SUM(B5:B20)+814191.6</f>
        <v>3375355.7124000001</v>
      </c>
      <c r="C21" s="400">
        <f>SUM(C5:C20)</f>
        <v>352157.88</v>
      </c>
      <c r="D21" s="400">
        <f>SUM(D5:D20)</f>
        <v>246124.91999999998</v>
      </c>
      <c r="E21" s="400">
        <f>SUM(E5:E20)</f>
        <v>221088</v>
      </c>
      <c r="F21" s="400">
        <f>SUM(F5:F20)</f>
        <v>182463.83999999997</v>
      </c>
      <c r="G21" s="400">
        <f>SUM(G5:G20)</f>
        <v>169022.16</v>
      </c>
      <c r="H21" s="400">
        <f t="shared" ref="H21" si="2">SUM(H5:H20)</f>
        <v>0</v>
      </c>
      <c r="I21" s="400">
        <f>SUM(I5:I20)</f>
        <v>66023.28</v>
      </c>
      <c r="J21" s="400">
        <f>SUM(J5:J20)</f>
        <v>34597.679999999993</v>
      </c>
      <c r="K21" s="401">
        <f>SUM(B21:J21)</f>
        <v>4646833.4723999994</v>
      </c>
      <c r="L21" s="326"/>
    </row>
    <row r="23" spans="1:17">
      <c r="A23" s="69" t="s">
        <v>143</v>
      </c>
      <c r="B23" s="264"/>
      <c r="C23" s="264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7" ht="15.75" thickBot="1">
      <c r="A24" s="7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</row>
    <row r="25" spans="1:17">
      <c r="A25" s="116"/>
      <c r="B25" s="136" t="s">
        <v>114</v>
      </c>
      <c r="C25" s="136" t="s">
        <v>144</v>
      </c>
      <c r="D25" s="137" t="s">
        <v>145</v>
      </c>
      <c r="E25" s="136" t="s">
        <v>115</v>
      </c>
      <c r="F25" s="136" t="s">
        <v>116</v>
      </c>
      <c r="G25" s="136" t="s">
        <v>118</v>
      </c>
      <c r="H25" s="136" t="s">
        <v>146</v>
      </c>
      <c r="I25" s="136" t="s">
        <v>117</v>
      </c>
      <c r="J25" s="136" t="s">
        <v>120</v>
      </c>
      <c r="K25" s="136" t="s">
        <v>122</v>
      </c>
      <c r="L25" s="136" t="s">
        <v>147</v>
      </c>
      <c r="M25" s="191" t="s">
        <v>148</v>
      </c>
      <c r="N25" s="144" t="s">
        <v>172</v>
      </c>
      <c r="O25" s="192" t="s">
        <v>123</v>
      </c>
      <c r="P25" s="131"/>
    </row>
    <row r="26" spans="1:17" ht="15.75" thickBot="1">
      <c r="A26" s="117"/>
      <c r="B26" s="138" t="s">
        <v>124</v>
      </c>
      <c r="C26" s="138" t="s">
        <v>124</v>
      </c>
      <c r="D26" s="139" t="s">
        <v>183</v>
      </c>
      <c r="E26" s="138" t="s">
        <v>124</v>
      </c>
      <c r="F26" s="138"/>
      <c r="G26" s="138" t="s">
        <v>125</v>
      </c>
      <c r="H26" s="138" t="s">
        <v>126</v>
      </c>
      <c r="I26" s="138" t="s">
        <v>124</v>
      </c>
      <c r="J26" s="138"/>
      <c r="K26" s="138"/>
      <c r="L26" s="138"/>
      <c r="M26" s="193"/>
      <c r="N26" s="147" t="s">
        <v>170</v>
      </c>
      <c r="O26" s="194"/>
      <c r="P26" s="160"/>
    </row>
    <row r="27" spans="1:17" ht="15.75" thickBot="1">
      <c r="A27" s="74" t="s">
        <v>322</v>
      </c>
      <c r="B27" s="140">
        <f>(59631.31*12)*(108/100)</f>
        <v>772821.77760000003</v>
      </c>
      <c r="C27" s="140"/>
      <c r="D27" s="140">
        <v>0</v>
      </c>
      <c r="E27" s="140">
        <f>9242.57*12</f>
        <v>110910.84</v>
      </c>
      <c r="F27" s="140">
        <v>0</v>
      </c>
      <c r="G27" s="140">
        <f>2429.4*12</f>
        <v>29152.800000000003</v>
      </c>
      <c r="H27" s="140">
        <f>8874*12</f>
        <v>106488</v>
      </c>
      <c r="I27" s="140">
        <f>800*12</f>
        <v>9600</v>
      </c>
      <c r="J27" s="140">
        <v>4678.51</v>
      </c>
      <c r="K27" s="140">
        <f>B27*1%</f>
        <v>7728.2177760000004</v>
      </c>
      <c r="L27" s="140">
        <f>148.72*12</f>
        <v>1784.6399999999999</v>
      </c>
      <c r="M27" s="195">
        <f>(6.78)*12</f>
        <v>81.36</v>
      </c>
      <c r="N27" s="196">
        <v>0</v>
      </c>
      <c r="O27" s="327">
        <f>SUM(B27:N27)</f>
        <v>1043246.1453760001</v>
      </c>
      <c r="P27" s="160"/>
    </row>
    <row r="28" spans="1:17" ht="15.75" thickBot="1">
      <c r="A28" s="75" t="s">
        <v>150</v>
      </c>
      <c r="B28" s="140">
        <f>(88958.85*12)*(108/100)</f>
        <v>1152906.6960000002</v>
      </c>
      <c r="C28" s="140"/>
      <c r="D28" s="140">
        <v>0</v>
      </c>
      <c r="E28" s="140">
        <f>7000*12</f>
        <v>84000</v>
      </c>
      <c r="F28" s="140">
        <v>0</v>
      </c>
      <c r="G28" s="140">
        <f>1939.8*12</f>
        <v>23277.599999999999</v>
      </c>
      <c r="H28" s="140">
        <v>0</v>
      </c>
      <c r="I28" s="140">
        <f>800*12</f>
        <v>9600</v>
      </c>
      <c r="J28" s="140">
        <v>7552.78</v>
      </c>
      <c r="K28" s="140">
        <f>B28*1%</f>
        <v>11529.066960000002</v>
      </c>
      <c r="L28" s="140">
        <f>148.72*12</f>
        <v>1784.6399999999999</v>
      </c>
      <c r="M28" s="195">
        <f t="shared" ref="M28:M30" si="3">(6.78)*12</f>
        <v>81.36</v>
      </c>
      <c r="N28" s="149">
        <v>0</v>
      </c>
      <c r="O28" s="327">
        <f t="shared" ref="O28:O30" si="4">SUM(B28:N28)</f>
        <v>1290732.1429600003</v>
      </c>
      <c r="P28" s="160"/>
    </row>
    <row r="29" spans="1:17" ht="15.75" thickBot="1">
      <c r="A29" s="75" t="s">
        <v>323</v>
      </c>
      <c r="B29" s="140">
        <f>(80343.46*12)*(108/100)</f>
        <v>1041251.2416000001</v>
      </c>
      <c r="C29" s="140"/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f>800*12</f>
        <v>9600</v>
      </c>
      <c r="J29" s="140">
        <v>0</v>
      </c>
      <c r="K29" s="140">
        <f>B29*1%</f>
        <v>10412.512416000001</v>
      </c>
      <c r="L29" s="140">
        <f>148.72*12</f>
        <v>1784.6399999999999</v>
      </c>
      <c r="M29" s="195">
        <f t="shared" si="3"/>
        <v>81.36</v>
      </c>
      <c r="N29" s="149">
        <v>0</v>
      </c>
      <c r="O29" s="327">
        <f t="shared" si="4"/>
        <v>1063129.7540160001</v>
      </c>
      <c r="P29" s="160"/>
    </row>
    <row r="30" spans="1:17" ht="15.75" thickBot="1">
      <c r="A30" s="118" t="s">
        <v>363</v>
      </c>
      <c r="B30" s="141">
        <f>(81134.91*12)*(108/100)</f>
        <v>1051508.4336000001</v>
      </c>
      <c r="C30" s="141"/>
      <c r="D30" s="140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0">
        <f>B30*1%</f>
        <v>10515.084336000002</v>
      </c>
      <c r="L30" s="140">
        <f>148.72*12</f>
        <v>1784.6399999999999</v>
      </c>
      <c r="M30" s="195">
        <f t="shared" si="3"/>
        <v>81.36</v>
      </c>
      <c r="N30" s="149">
        <v>0</v>
      </c>
      <c r="O30" s="327">
        <f t="shared" si="4"/>
        <v>1063889.5179360001</v>
      </c>
      <c r="P30" s="160"/>
      <c r="Q30" s="160"/>
    </row>
    <row r="31" spans="1:17" ht="15.75" thickBot="1">
      <c r="A31" s="119"/>
      <c r="B31" s="142">
        <f t="shared" ref="B31:G31" si="5">SUM(B27:B30)</f>
        <v>4018488.1488000005</v>
      </c>
      <c r="C31" s="142">
        <f t="shared" si="5"/>
        <v>0</v>
      </c>
      <c r="D31" s="142">
        <f t="shared" si="5"/>
        <v>0</v>
      </c>
      <c r="E31" s="142">
        <f t="shared" si="5"/>
        <v>194910.84</v>
      </c>
      <c r="F31" s="142">
        <f t="shared" si="5"/>
        <v>0</v>
      </c>
      <c r="G31" s="142">
        <f t="shared" si="5"/>
        <v>52430.400000000001</v>
      </c>
      <c r="H31" s="142">
        <f t="shared" ref="H31:L31" si="6">SUM(H27:H30)</f>
        <v>106488</v>
      </c>
      <c r="I31" s="142">
        <f>SUM(I27:I30)</f>
        <v>28800</v>
      </c>
      <c r="J31" s="142">
        <f>SUM(J27:J30)</f>
        <v>12231.29</v>
      </c>
      <c r="K31" s="142">
        <f>SUM(K27:K30)</f>
        <v>40184.881488000006</v>
      </c>
      <c r="L31" s="142">
        <f t="shared" si="6"/>
        <v>7138.5599999999995</v>
      </c>
      <c r="M31" s="142">
        <f>SUM(M27:M30)</f>
        <v>325.44</v>
      </c>
      <c r="N31" s="142">
        <f>SUM(N27:N30)</f>
        <v>0</v>
      </c>
      <c r="O31" s="154">
        <f>SUM(B31:N31)</f>
        <v>4460997.5602880009</v>
      </c>
      <c r="P31" s="320"/>
    </row>
    <row r="32" spans="1:17">
      <c r="A32" s="1"/>
      <c r="O32" s="216"/>
    </row>
    <row r="34" spans="1:18" s="70" customFormat="1">
      <c r="A34" s="69" t="s">
        <v>105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228"/>
      <c r="Q34" s="131"/>
      <c r="R34" s="131"/>
    </row>
    <row r="35" spans="1:18" s="70" customFormat="1" ht="15.75" thickBot="1">
      <c r="A35" s="69"/>
      <c r="B35" s="131"/>
      <c r="C35" s="131"/>
      <c r="D35" s="143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228"/>
      <c r="Q35" s="131"/>
      <c r="R35" s="131"/>
    </row>
    <row r="36" spans="1:18" s="70" customFormat="1" ht="14.25">
      <c r="A36" s="76"/>
      <c r="B36" s="144" t="s">
        <v>114</v>
      </c>
      <c r="C36" s="144" t="s">
        <v>144</v>
      </c>
      <c r="D36" s="145" t="s">
        <v>145</v>
      </c>
      <c r="E36" s="144" t="s">
        <v>115</v>
      </c>
      <c r="F36" s="144" t="s">
        <v>116</v>
      </c>
      <c r="G36" s="144" t="s">
        <v>118</v>
      </c>
      <c r="H36" s="144" t="s">
        <v>146</v>
      </c>
      <c r="I36" s="144" t="s">
        <v>117</v>
      </c>
      <c r="J36" s="144" t="s">
        <v>120</v>
      </c>
      <c r="K36" s="144" t="s">
        <v>122</v>
      </c>
      <c r="L36" s="144" t="s">
        <v>147</v>
      </c>
      <c r="M36" s="144" t="s">
        <v>148</v>
      </c>
      <c r="N36" s="144" t="s">
        <v>172</v>
      </c>
      <c r="O36" s="217" t="s">
        <v>123</v>
      </c>
      <c r="P36" s="228"/>
      <c r="Q36" s="131"/>
      <c r="R36" s="131"/>
    </row>
    <row r="37" spans="1:18" s="70" customFormat="1" thickBot="1">
      <c r="A37" s="102"/>
      <c r="B37" s="146" t="s">
        <v>124</v>
      </c>
      <c r="C37" s="147" t="s">
        <v>124</v>
      </c>
      <c r="D37" s="148" t="s">
        <v>149</v>
      </c>
      <c r="E37" s="147" t="s">
        <v>124</v>
      </c>
      <c r="F37" s="147"/>
      <c r="G37" s="146" t="s">
        <v>125</v>
      </c>
      <c r="H37" s="147" t="s">
        <v>126</v>
      </c>
      <c r="I37" s="147" t="s">
        <v>124</v>
      </c>
      <c r="J37" s="146" t="s">
        <v>171</v>
      </c>
      <c r="K37" s="146"/>
      <c r="L37" s="146"/>
      <c r="M37" s="147"/>
      <c r="N37" s="147" t="s">
        <v>170</v>
      </c>
      <c r="O37" s="218"/>
      <c r="P37" s="228"/>
      <c r="Q37" s="131"/>
      <c r="R37" s="131"/>
    </row>
    <row r="38" spans="1:18" s="70" customFormat="1" ht="14.25">
      <c r="A38" s="311" t="s">
        <v>151</v>
      </c>
      <c r="B38" s="133">
        <f>(16068.57*12)+(192822.84)*(6.79/100)</f>
        <v>205915.510836</v>
      </c>
      <c r="C38" s="314">
        <v>0</v>
      </c>
      <c r="D38" s="315">
        <v>0</v>
      </c>
      <c r="E38" s="315">
        <v>0</v>
      </c>
      <c r="F38" s="312">
        <f>300*12</f>
        <v>3600</v>
      </c>
      <c r="G38" s="176">
        <f>2220.6*12</f>
        <v>26647.199999999997</v>
      </c>
      <c r="H38" s="315">
        <f>B38*18.07%</f>
        <v>37208.932808065198</v>
      </c>
      <c r="I38" s="312">
        <f>400*12</f>
        <v>4800</v>
      </c>
      <c r="J38" s="176">
        <f>B38/12</f>
        <v>17159.625903</v>
      </c>
      <c r="K38" s="176">
        <f>B38*1%</f>
        <v>2059.1551083600002</v>
      </c>
      <c r="L38" s="176">
        <f>148.72*12</f>
        <v>1784.6399999999999</v>
      </c>
      <c r="M38" s="188">
        <f>(6.78)*12</f>
        <v>81.36</v>
      </c>
      <c r="N38" s="188">
        <v>0</v>
      </c>
      <c r="O38" s="329">
        <f>SUM(B38:N38)</f>
        <v>299256.42465542519</v>
      </c>
      <c r="P38" s="160"/>
      <c r="Q38" s="131"/>
      <c r="R38" s="131"/>
    </row>
    <row r="39" spans="1:18" s="70" customFormat="1" ht="14.25">
      <c r="A39" s="275" t="s">
        <v>152</v>
      </c>
      <c r="B39" s="133">
        <f>(31636.12*12)+(379633.44)*(6.79/100)</f>
        <v>405410.55057600001</v>
      </c>
      <c r="C39" s="276">
        <v>0</v>
      </c>
      <c r="D39" s="277">
        <v>0</v>
      </c>
      <c r="E39" s="176">
        <f>9242.57*12</f>
        <v>110910.84</v>
      </c>
      <c r="F39" s="278">
        <f>478*12</f>
        <v>5736</v>
      </c>
      <c r="G39" s="176">
        <f>2429.4*12</f>
        <v>29152.800000000003</v>
      </c>
      <c r="H39" s="277">
        <f t="shared" ref="H39:H57" si="7">B39*18.07%</f>
        <v>73257.686489083208</v>
      </c>
      <c r="I39" s="278">
        <f>448*12</f>
        <v>5376</v>
      </c>
      <c r="J39" s="176">
        <f t="shared" ref="J39:J57" si="8">B39/12</f>
        <v>33784.212548000003</v>
      </c>
      <c r="K39" s="176">
        <f t="shared" ref="K39:K57" si="9">B39*1%</f>
        <v>4054.1055057600001</v>
      </c>
      <c r="L39" s="176">
        <f t="shared" ref="L39:L57" si="10">148.72*12</f>
        <v>1784.6399999999999</v>
      </c>
      <c r="M39" s="188">
        <f t="shared" ref="M39:M57" si="11">(6.78)*12</f>
        <v>81.36</v>
      </c>
      <c r="N39" s="176">
        <v>0</v>
      </c>
      <c r="O39" s="188">
        <f t="shared" ref="O39:O57" si="12">SUM(B39:N39)</f>
        <v>669548.19511884323</v>
      </c>
      <c r="P39" s="160"/>
      <c r="Q39" s="131"/>
      <c r="R39" s="131"/>
    </row>
    <row r="40" spans="1:18" s="70" customFormat="1" ht="14.25">
      <c r="A40" s="275" t="s">
        <v>153</v>
      </c>
      <c r="B40" s="158">
        <f>(17220.58*12)+(207680.16)*(6.79/100)</f>
        <v>220748.44286400001</v>
      </c>
      <c r="C40" s="276">
        <v>0</v>
      </c>
      <c r="D40" s="277">
        <v>0</v>
      </c>
      <c r="E40" s="176">
        <v>0</v>
      </c>
      <c r="F40" s="278">
        <f>300*12</f>
        <v>3600</v>
      </c>
      <c r="G40" s="176">
        <f>2027.4*12</f>
        <v>24328.800000000003</v>
      </c>
      <c r="H40" s="277">
        <f t="shared" si="7"/>
        <v>39889.243625524803</v>
      </c>
      <c r="I40" s="278">
        <f>400*12</f>
        <v>4800</v>
      </c>
      <c r="J40" s="176">
        <f t="shared" si="8"/>
        <v>18395.703572000002</v>
      </c>
      <c r="K40" s="176">
        <f t="shared" si="9"/>
        <v>2207.4844286400003</v>
      </c>
      <c r="L40" s="176">
        <f t="shared" si="10"/>
        <v>1784.6399999999999</v>
      </c>
      <c r="M40" s="188">
        <f t="shared" si="11"/>
        <v>81.36</v>
      </c>
      <c r="N40" s="176">
        <v>0</v>
      </c>
      <c r="O40" s="188">
        <f t="shared" si="12"/>
        <v>315835.67449016485</v>
      </c>
      <c r="P40" s="160"/>
      <c r="Q40" s="131"/>
      <c r="R40" s="131"/>
    </row>
    <row r="41" spans="1:18" s="280" customFormat="1" ht="14.25" customHeight="1">
      <c r="A41" s="275" t="s">
        <v>154</v>
      </c>
      <c r="B41" s="158">
        <f>(17220.58*12)+(207680.16)*(6.79/100)</f>
        <v>220748.44286400001</v>
      </c>
      <c r="C41" s="276">
        <v>0</v>
      </c>
      <c r="D41" s="277">
        <v>0</v>
      </c>
      <c r="E41" s="176">
        <v>0</v>
      </c>
      <c r="F41" s="278">
        <f>300*12</f>
        <v>3600</v>
      </c>
      <c r="G41" s="176">
        <f>1212*12</f>
        <v>14544</v>
      </c>
      <c r="H41" s="277">
        <f>B41*18%</f>
        <v>39734.719715519997</v>
      </c>
      <c r="I41" s="278">
        <v>0</v>
      </c>
      <c r="J41" s="176">
        <f t="shared" si="8"/>
        <v>18395.703572000002</v>
      </c>
      <c r="K41" s="176">
        <f t="shared" si="9"/>
        <v>2207.4844286400003</v>
      </c>
      <c r="L41" s="176">
        <f t="shared" si="10"/>
        <v>1784.6399999999999</v>
      </c>
      <c r="M41" s="188">
        <f t="shared" si="11"/>
        <v>81.36</v>
      </c>
      <c r="N41" s="176">
        <v>0</v>
      </c>
      <c r="O41" s="188">
        <f t="shared" si="12"/>
        <v>301096.35058016004</v>
      </c>
      <c r="P41" s="320"/>
      <c r="Q41" s="279"/>
      <c r="R41" s="279"/>
    </row>
    <row r="42" spans="1:18" s="280" customFormat="1" ht="14.25" customHeight="1">
      <c r="A42" s="275" t="s">
        <v>316</v>
      </c>
      <c r="B42" s="158">
        <f>(17220.58*12)+(207680.16)*(6.79/100)</f>
        <v>220748.44286400001</v>
      </c>
      <c r="C42" s="176">
        <v>0</v>
      </c>
      <c r="D42" s="277">
        <v>0</v>
      </c>
      <c r="E42" s="176">
        <v>0</v>
      </c>
      <c r="F42" s="278">
        <v>0</v>
      </c>
      <c r="G42" s="176">
        <f>2220.6*12</f>
        <v>26647.199999999997</v>
      </c>
      <c r="H42" s="277">
        <f>B42*18%</f>
        <v>39734.719715519997</v>
      </c>
      <c r="I42" s="278">
        <v>0</v>
      </c>
      <c r="J42" s="176">
        <f t="shared" si="8"/>
        <v>18395.703572000002</v>
      </c>
      <c r="K42" s="176">
        <f t="shared" si="9"/>
        <v>2207.4844286400003</v>
      </c>
      <c r="L42" s="176">
        <f t="shared" si="10"/>
        <v>1784.6399999999999</v>
      </c>
      <c r="M42" s="188">
        <f t="shared" si="11"/>
        <v>81.36</v>
      </c>
      <c r="N42" s="176">
        <v>0</v>
      </c>
      <c r="O42" s="188">
        <f t="shared" si="12"/>
        <v>309599.55058015999</v>
      </c>
      <c r="P42" s="320"/>
      <c r="Q42" s="279"/>
      <c r="R42" s="279"/>
    </row>
    <row r="43" spans="1:18" s="280" customFormat="1" ht="14.25">
      <c r="A43" s="281" t="s">
        <v>187</v>
      </c>
      <c r="B43" s="158">
        <f>(17220.58*12)+(207680.16)*(6.79/100)</f>
        <v>220748.44286400001</v>
      </c>
      <c r="C43" s="176">
        <v>0</v>
      </c>
      <c r="D43" s="277">
        <v>0</v>
      </c>
      <c r="E43" s="176">
        <v>0</v>
      </c>
      <c r="F43" s="278">
        <v>0</v>
      </c>
      <c r="G43" s="176">
        <f>2897.21*12</f>
        <v>34766.520000000004</v>
      </c>
      <c r="H43" s="277">
        <f>B43*18%</f>
        <v>39734.719715519997</v>
      </c>
      <c r="I43" s="278">
        <v>0</v>
      </c>
      <c r="J43" s="176">
        <f t="shared" si="8"/>
        <v>18395.703572000002</v>
      </c>
      <c r="K43" s="176">
        <f t="shared" si="9"/>
        <v>2207.4844286400003</v>
      </c>
      <c r="L43" s="176">
        <f t="shared" si="10"/>
        <v>1784.6399999999999</v>
      </c>
      <c r="M43" s="188">
        <f t="shared" si="11"/>
        <v>81.36</v>
      </c>
      <c r="N43" s="176">
        <v>0</v>
      </c>
      <c r="O43" s="188">
        <f t="shared" si="12"/>
        <v>317718.87058016</v>
      </c>
      <c r="P43" s="320"/>
      <c r="Q43" s="279"/>
      <c r="R43" s="279"/>
    </row>
    <row r="44" spans="1:18" s="70" customFormat="1" ht="14.25" customHeight="1">
      <c r="A44" s="275" t="s">
        <v>255</v>
      </c>
      <c r="B44" s="133">
        <f>(11881.11*12)+(142573.32)*(6.79/100)</f>
        <v>152254.04842800001</v>
      </c>
      <c r="C44" s="313">
        <v>0</v>
      </c>
      <c r="D44" s="277">
        <v>0</v>
      </c>
      <c r="E44" s="282">
        <v>0</v>
      </c>
      <c r="F44" s="278">
        <f>300*12</f>
        <v>3600</v>
      </c>
      <c r="G44" s="176">
        <f>2016*12</f>
        <v>24192</v>
      </c>
      <c r="H44" s="277">
        <f t="shared" si="7"/>
        <v>27512.3065509396</v>
      </c>
      <c r="I44" s="204">
        <v>0</v>
      </c>
      <c r="J44" s="176">
        <f t="shared" si="8"/>
        <v>12687.837369000001</v>
      </c>
      <c r="K44" s="176">
        <f t="shared" si="9"/>
        <v>1522.5404842800001</v>
      </c>
      <c r="L44" s="176">
        <v>1761</v>
      </c>
      <c r="M44" s="188">
        <f t="shared" si="11"/>
        <v>81.36</v>
      </c>
      <c r="N44" s="176">
        <v>0</v>
      </c>
      <c r="O44" s="188">
        <f t="shared" si="12"/>
        <v>223611.09283221958</v>
      </c>
      <c r="P44" s="160"/>
      <c r="Q44" s="131"/>
      <c r="R44" s="131"/>
    </row>
    <row r="45" spans="1:18" s="70" customFormat="1" ht="14.25">
      <c r="A45" s="275" t="s">
        <v>256</v>
      </c>
      <c r="B45" s="133">
        <f>(11881.11*12)+(142573.32)*(6.79/100)</f>
        <v>152254.04842800001</v>
      </c>
      <c r="C45" s="313">
        <v>0</v>
      </c>
      <c r="D45" s="277">
        <v>0</v>
      </c>
      <c r="E45" s="282">
        <v>0</v>
      </c>
      <c r="F45" s="278">
        <f>478*12</f>
        <v>5736</v>
      </c>
      <c r="G45" s="176">
        <f>2316*12</f>
        <v>27792</v>
      </c>
      <c r="H45" s="277">
        <f t="shared" si="7"/>
        <v>27512.3065509396</v>
      </c>
      <c r="I45" s="204">
        <v>0</v>
      </c>
      <c r="J45" s="176">
        <f t="shared" si="8"/>
        <v>12687.837369000001</v>
      </c>
      <c r="K45" s="176">
        <f t="shared" si="9"/>
        <v>1522.5404842800001</v>
      </c>
      <c r="L45" s="176">
        <f>146.75*12</f>
        <v>1761</v>
      </c>
      <c r="M45" s="188">
        <f t="shared" si="11"/>
        <v>81.36</v>
      </c>
      <c r="N45" s="176">
        <v>0</v>
      </c>
      <c r="O45" s="188">
        <f t="shared" si="12"/>
        <v>229347.09283221958</v>
      </c>
      <c r="P45" s="160"/>
      <c r="Q45" s="131"/>
      <c r="R45" s="131"/>
    </row>
    <row r="46" spans="1:18" s="70" customFormat="1" ht="14.25">
      <c r="A46" s="275" t="s">
        <v>185</v>
      </c>
      <c r="B46" s="133">
        <f>(11881.11*12)+(142573.32)*(6.79/100)</f>
        <v>152254.04842800001</v>
      </c>
      <c r="C46" s="313">
        <v>0</v>
      </c>
      <c r="D46" s="277">
        <v>0</v>
      </c>
      <c r="E46" s="282">
        <v>0</v>
      </c>
      <c r="F46" s="204">
        <v>0</v>
      </c>
      <c r="G46" s="176">
        <f>1614*12</f>
        <v>19368</v>
      </c>
      <c r="H46" s="277">
        <f t="shared" si="7"/>
        <v>27512.3065509396</v>
      </c>
      <c r="I46" s="204">
        <v>0</v>
      </c>
      <c r="J46" s="176">
        <f t="shared" si="8"/>
        <v>12687.837369000001</v>
      </c>
      <c r="K46" s="176">
        <f t="shared" si="9"/>
        <v>1522.5404842800001</v>
      </c>
      <c r="L46" s="176">
        <f>146.75*12</f>
        <v>1761</v>
      </c>
      <c r="M46" s="188">
        <f t="shared" si="11"/>
        <v>81.36</v>
      </c>
      <c r="N46" s="282">
        <v>0</v>
      </c>
      <c r="O46" s="188">
        <f t="shared" si="12"/>
        <v>215187.09283221958</v>
      </c>
      <c r="P46" s="160"/>
      <c r="Q46" s="131"/>
      <c r="R46" s="131"/>
    </row>
    <row r="47" spans="1:18" s="288" customFormat="1" ht="14.25">
      <c r="A47" s="275" t="s">
        <v>314</v>
      </c>
      <c r="B47" s="133">
        <f>(31636.12*12)+(379633.44)*(6.79/100)</f>
        <v>405410.55057600001</v>
      </c>
      <c r="C47" s="276">
        <v>0</v>
      </c>
      <c r="D47" s="277">
        <v>0</v>
      </c>
      <c r="E47" s="176">
        <f>9242.57*12</f>
        <v>110910.84</v>
      </c>
      <c r="F47" s="278">
        <v>0</v>
      </c>
      <c r="G47" s="176">
        <f>2429.4*12</f>
        <v>29152.800000000003</v>
      </c>
      <c r="H47" s="277">
        <f t="shared" si="7"/>
        <v>73257.686489083208</v>
      </c>
      <c r="I47" s="278">
        <f>448*12</f>
        <v>5376</v>
      </c>
      <c r="J47" s="176">
        <f t="shared" si="8"/>
        <v>33784.212548000003</v>
      </c>
      <c r="K47" s="176">
        <f t="shared" si="9"/>
        <v>4054.1055057600001</v>
      </c>
      <c r="L47" s="176">
        <f t="shared" si="10"/>
        <v>1784.6399999999999</v>
      </c>
      <c r="M47" s="188">
        <f t="shared" si="11"/>
        <v>81.36</v>
      </c>
      <c r="N47" s="176">
        <v>0</v>
      </c>
      <c r="O47" s="188">
        <f t="shared" si="12"/>
        <v>663812.19511884323</v>
      </c>
      <c r="P47" s="328"/>
      <c r="Q47" s="287"/>
      <c r="R47" s="287"/>
    </row>
    <row r="48" spans="1:18" s="70" customFormat="1" ht="14.25">
      <c r="A48" s="107" t="s">
        <v>155</v>
      </c>
      <c r="B48" s="133">
        <f>(31636.12*12)+(379633.44)*(6.79/100)</f>
        <v>405410.55057600001</v>
      </c>
      <c r="C48" s="276">
        <v>0</v>
      </c>
      <c r="D48" s="277">
        <v>0</v>
      </c>
      <c r="E48" s="176">
        <f>9242.57*12</f>
        <v>110910.84</v>
      </c>
      <c r="F48" s="278">
        <f>478*12</f>
        <v>5736</v>
      </c>
      <c r="G48" s="176">
        <f>1212*12</f>
        <v>14544</v>
      </c>
      <c r="H48" s="277">
        <f t="shared" si="7"/>
        <v>73257.686489083208</v>
      </c>
      <c r="I48" s="278">
        <f>448*12</f>
        <v>5376</v>
      </c>
      <c r="J48" s="176">
        <f t="shared" si="8"/>
        <v>33784.212548000003</v>
      </c>
      <c r="K48" s="176">
        <f t="shared" si="9"/>
        <v>4054.1055057600001</v>
      </c>
      <c r="L48" s="176">
        <f t="shared" si="10"/>
        <v>1784.6399999999999</v>
      </c>
      <c r="M48" s="188">
        <f t="shared" si="11"/>
        <v>81.36</v>
      </c>
      <c r="N48" s="176">
        <v>0</v>
      </c>
      <c r="O48" s="188">
        <f t="shared" si="12"/>
        <v>654939.39511884318</v>
      </c>
      <c r="P48" s="160"/>
      <c r="Q48" s="131"/>
      <c r="R48" s="131"/>
    </row>
    <row r="49" spans="1:18" s="70" customFormat="1" ht="14.25">
      <c r="A49" s="107" t="s">
        <v>315</v>
      </c>
      <c r="B49" s="133">
        <f>(31636.12*12)+(379633.44)*(6.79/100)</f>
        <v>405410.55057600001</v>
      </c>
      <c r="C49" s="276">
        <v>0</v>
      </c>
      <c r="D49" s="277">
        <v>0</v>
      </c>
      <c r="E49" s="176">
        <f>9242.57*12</f>
        <v>110910.84</v>
      </c>
      <c r="F49" s="278">
        <f>478*12</f>
        <v>5736</v>
      </c>
      <c r="G49" s="176">
        <f>1614*12</f>
        <v>19368</v>
      </c>
      <c r="H49" s="277">
        <f t="shared" si="7"/>
        <v>73257.686489083208</v>
      </c>
      <c r="I49" s="278">
        <f>448*12</f>
        <v>5376</v>
      </c>
      <c r="J49" s="176">
        <f t="shared" si="8"/>
        <v>33784.212548000003</v>
      </c>
      <c r="K49" s="176">
        <f t="shared" si="9"/>
        <v>4054.1055057600001</v>
      </c>
      <c r="L49" s="176">
        <f t="shared" si="10"/>
        <v>1784.6399999999999</v>
      </c>
      <c r="M49" s="188">
        <f t="shared" si="11"/>
        <v>81.36</v>
      </c>
      <c r="N49" s="176">
        <v>0</v>
      </c>
      <c r="O49" s="188">
        <f t="shared" si="12"/>
        <v>659763.39511884318</v>
      </c>
      <c r="P49" s="160"/>
      <c r="Q49" s="131"/>
      <c r="R49" s="131"/>
    </row>
    <row r="50" spans="1:18" s="70" customFormat="1" ht="14.25">
      <c r="A50" s="107" t="s">
        <v>156</v>
      </c>
      <c r="B50" s="133">
        <f>(22736.42*12)+(272837.04)*(6.79/100)</f>
        <v>291362.67501599999</v>
      </c>
      <c r="C50" s="276">
        <v>0</v>
      </c>
      <c r="D50" s="277">
        <v>0</v>
      </c>
      <c r="E50" s="176">
        <f>6561.25*12</f>
        <v>78735</v>
      </c>
      <c r="F50" s="278">
        <f t="shared" ref="F50:F56" si="13">300*12</f>
        <v>3600</v>
      </c>
      <c r="G50" s="176">
        <f>1212*12</f>
        <v>14544</v>
      </c>
      <c r="H50" s="277">
        <f t="shared" si="7"/>
        <v>52649.235375391196</v>
      </c>
      <c r="I50" s="278">
        <f>444*12</f>
        <v>5328</v>
      </c>
      <c r="J50" s="176">
        <f t="shared" si="8"/>
        <v>24280.222917999999</v>
      </c>
      <c r="K50" s="176">
        <f t="shared" si="9"/>
        <v>2913.62675016</v>
      </c>
      <c r="L50" s="176">
        <f t="shared" si="10"/>
        <v>1784.6399999999999</v>
      </c>
      <c r="M50" s="188">
        <f t="shared" si="11"/>
        <v>81.36</v>
      </c>
      <c r="N50" s="176">
        <v>0</v>
      </c>
      <c r="O50" s="188">
        <f t="shared" si="12"/>
        <v>475278.76005955122</v>
      </c>
      <c r="P50" s="160"/>
      <c r="Q50" s="131"/>
      <c r="R50" s="131"/>
    </row>
    <row r="51" spans="1:18" s="70" customFormat="1" ht="14.25">
      <c r="A51" s="107" t="s">
        <v>157</v>
      </c>
      <c r="B51" s="133">
        <f>(22736.42*12)+(272837.04)*(6.79/100)</f>
        <v>291362.67501599999</v>
      </c>
      <c r="C51" s="276">
        <v>0</v>
      </c>
      <c r="D51" s="277">
        <v>0</v>
      </c>
      <c r="E51" s="176">
        <f>6561.25*12</f>
        <v>78735</v>
      </c>
      <c r="F51" s="278">
        <f t="shared" si="13"/>
        <v>3600</v>
      </c>
      <c r="G51" s="176">
        <f>2429.4*12</f>
        <v>29152.800000000003</v>
      </c>
      <c r="H51" s="277">
        <f t="shared" si="7"/>
        <v>52649.235375391196</v>
      </c>
      <c r="I51" s="278">
        <f>444*12</f>
        <v>5328</v>
      </c>
      <c r="J51" s="176">
        <f t="shared" si="8"/>
        <v>24280.222917999999</v>
      </c>
      <c r="K51" s="176">
        <f t="shared" si="9"/>
        <v>2913.62675016</v>
      </c>
      <c r="L51" s="176">
        <f t="shared" si="10"/>
        <v>1784.6399999999999</v>
      </c>
      <c r="M51" s="188">
        <f t="shared" si="11"/>
        <v>81.36</v>
      </c>
      <c r="N51" s="176">
        <v>0</v>
      </c>
      <c r="O51" s="188">
        <f t="shared" si="12"/>
        <v>489887.56005955121</v>
      </c>
      <c r="P51" s="160"/>
      <c r="Q51" s="131"/>
      <c r="R51" s="131"/>
    </row>
    <row r="52" spans="1:18" s="70" customFormat="1" ht="14.25">
      <c r="A52" s="107" t="s">
        <v>158</v>
      </c>
      <c r="B52" s="133">
        <f>(22736.42*12)+(272837.04)*(6.79/100)</f>
        <v>291362.67501599999</v>
      </c>
      <c r="C52" s="276">
        <v>0</v>
      </c>
      <c r="D52" s="277">
        <v>0</v>
      </c>
      <c r="E52" s="176">
        <f>6561.25*12</f>
        <v>78735</v>
      </c>
      <c r="F52" s="278">
        <f t="shared" si="13"/>
        <v>3600</v>
      </c>
      <c r="G52" s="176">
        <f>2220.6*12</f>
        <v>26647.199999999997</v>
      </c>
      <c r="H52" s="277">
        <f t="shared" si="7"/>
        <v>52649.235375391196</v>
      </c>
      <c r="I52" s="278">
        <f>444*12</f>
        <v>5328</v>
      </c>
      <c r="J52" s="176">
        <f t="shared" si="8"/>
        <v>24280.222917999999</v>
      </c>
      <c r="K52" s="176">
        <f t="shared" si="9"/>
        <v>2913.62675016</v>
      </c>
      <c r="L52" s="176">
        <f t="shared" si="10"/>
        <v>1784.6399999999999</v>
      </c>
      <c r="M52" s="188">
        <f t="shared" si="11"/>
        <v>81.36</v>
      </c>
      <c r="N52" s="176">
        <v>0</v>
      </c>
      <c r="O52" s="188">
        <f t="shared" si="12"/>
        <v>487381.96005955123</v>
      </c>
      <c r="P52" s="160"/>
      <c r="Q52" s="131"/>
      <c r="R52" s="131"/>
    </row>
    <row r="53" spans="1:18" s="286" customFormat="1" ht="14.25">
      <c r="A53" s="107" t="s">
        <v>159</v>
      </c>
      <c r="B53" s="133">
        <f>(22736.42*12)+(272837.04)*(6.79/100)</f>
        <v>291362.67501599999</v>
      </c>
      <c r="C53" s="276">
        <v>0</v>
      </c>
      <c r="D53" s="277">
        <v>0</v>
      </c>
      <c r="E53" s="176">
        <f>6561.25*12</f>
        <v>78735</v>
      </c>
      <c r="F53" s="278">
        <f t="shared" si="13"/>
        <v>3600</v>
      </c>
      <c r="G53" s="176">
        <f>2078.4*12</f>
        <v>24940.800000000003</v>
      </c>
      <c r="H53" s="277">
        <f t="shared" si="7"/>
        <v>52649.235375391196</v>
      </c>
      <c r="I53" s="278">
        <f>444*12</f>
        <v>5328</v>
      </c>
      <c r="J53" s="176">
        <f t="shared" si="8"/>
        <v>24280.222917999999</v>
      </c>
      <c r="K53" s="176">
        <f t="shared" si="9"/>
        <v>2913.62675016</v>
      </c>
      <c r="L53" s="176">
        <f t="shared" si="10"/>
        <v>1784.6399999999999</v>
      </c>
      <c r="M53" s="188">
        <f t="shared" si="11"/>
        <v>81.36</v>
      </c>
      <c r="N53" s="176">
        <v>0</v>
      </c>
      <c r="O53" s="188">
        <f t="shared" si="12"/>
        <v>485675.56005955121</v>
      </c>
      <c r="P53" s="320"/>
      <c r="Q53" s="228"/>
      <c r="R53" s="228"/>
    </row>
    <row r="54" spans="1:18" s="286" customFormat="1" ht="14.25">
      <c r="A54" s="107" t="s">
        <v>160</v>
      </c>
      <c r="B54" s="133">
        <f>(22736.42*12)+(272837.04)*(6.79/100)</f>
        <v>291362.67501599999</v>
      </c>
      <c r="C54" s="276">
        <v>0</v>
      </c>
      <c r="D54" s="277">
        <v>0</v>
      </c>
      <c r="E54" s="176">
        <f>6561.25*12</f>
        <v>78735</v>
      </c>
      <c r="F54" s="278">
        <f t="shared" si="13"/>
        <v>3600</v>
      </c>
      <c r="G54" s="176">
        <f>1614*12</f>
        <v>19368</v>
      </c>
      <c r="H54" s="277">
        <f t="shared" si="7"/>
        <v>52649.235375391196</v>
      </c>
      <c r="I54" s="278">
        <f>444*12</f>
        <v>5328</v>
      </c>
      <c r="J54" s="176">
        <f t="shared" si="8"/>
        <v>24280.222917999999</v>
      </c>
      <c r="K54" s="176">
        <f t="shared" si="9"/>
        <v>2913.62675016</v>
      </c>
      <c r="L54" s="176">
        <f t="shared" si="10"/>
        <v>1784.6399999999999</v>
      </c>
      <c r="M54" s="188">
        <f t="shared" si="11"/>
        <v>81.36</v>
      </c>
      <c r="N54" s="176">
        <v>0</v>
      </c>
      <c r="O54" s="188">
        <f t="shared" si="12"/>
        <v>480102.76005955122</v>
      </c>
      <c r="P54" s="320"/>
      <c r="Q54" s="228"/>
      <c r="R54" s="228"/>
    </row>
    <row r="55" spans="1:18" s="286" customFormat="1" ht="14.25">
      <c r="A55" s="107" t="s">
        <v>184</v>
      </c>
      <c r="B55" s="158">
        <f>(17220.58*12)+(207680.16)*(6.79/100)</f>
        <v>220748.44286400001</v>
      </c>
      <c r="C55" s="276">
        <v>0</v>
      </c>
      <c r="D55" s="277">
        <v>0</v>
      </c>
      <c r="E55" s="176">
        <v>0</v>
      </c>
      <c r="F55" s="278">
        <f t="shared" si="13"/>
        <v>3600</v>
      </c>
      <c r="G55" s="176">
        <f>2831.4*12</f>
        <v>33976.800000000003</v>
      </c>
      <c r="H55" s="277">
        <f t="shared" si="7"/>
        <v>39889.243625524803</v>
      </c>
      <c r="I55" s="278">
        <f>400*12</f>
        <v>4800</v>
      </c>
      <c r="J55" s="176">
        <f t="shared" si="8"/>
        <v>18395.703572000002</v>
      </c>
      <c r="K55" s="176">
        <f t="shared" si="9"/>
        <v>2207.4844286400003</v>
      </c>
      <c r="L55" s="176">
        <f t="shared" si="10"/>
        <v>1784.6399999999999</v>
      </c>
      <c r="M55" s="188">
        <f t="shared" si="11"/>
        <v>81.36</v>
      </c>
      <c r="N55" s="176">
        <v>0</v>
      </c>
      <c r="O55" s="188">
        <f t="shared" si="12"/>
        <v>325483.67449016485</v>
      </c>
      <c r="P55" s="320"/>
      <c r="Q55" s="228"/>
      <c r="R55" s="228"/>
    </row>
    <row r="56" spans="1:18" s="288" customFormat="1" ht="14.25">
      <c r="A56" s="107" t="s">
        <v>186</v>
      </c>
      <c r="B56" s="158">
        <f>(17220.58*12)+(207680.16)*(6.79/100)</f>
        <v>220748.44286400001</v>
      </c>
      <c r="C56" s="276">
        <v>0</v>
      </c>
      <c r="D56" s="277">
        <v>0</v>
      </c>
      <c r="E56" s="176">
        <v>0</v>
      </c>
      <c r="F56" s="176">
        <f t="shared" si="13"/>
        <v>3600</v>
      </c>
      <c r="G56" s="176">
        <f>G55</f>
        <v>33976.800000000003</v>
      </c>
      <c r="H56" s="277">
        <f t="shared" si="7"/>
        <v>39889.243625524803</v>
      </c>
      <c r="I56" s="278">
        <v>0</v>
      </c>
      <c r="J56" s="176">
        <f t="shared" si="8"/>
        <v>18395.703572000002</v>
      </c>
      <c r="K56" s="176">
        <f t="shared" si="9"/>
        <v>2207.4844286400003</v>
      </c>
      <c r="L56" s="176">
        <f t="shared" si="10"/>
        <v>1784.6399999999999</v>
      </c>
      <c r="M56" s="188">
        <f t="shared" si="11"/>
        <v>81.36</v>
      </c>
      <c r="N56" s="176">
        <v>0</v>
      </c>
      <c r="O56" s="188">
        <f t="shared" si="12"/>
        <v>320683.67449016485</v>
      </c>
      <c r="P56" s="328"/>
      <c r="Q56" s="287"/>
      <c r="R56" s="287"/>
    </row>
    <row r="57" spans="1:18" s="70" customFormat="1" thickBot="1">
      <c r="A57" s="107" t="s">
        <v>161</v>
      </c>
      <c r="B57" s="158">
        <f>(17220.58*12)+(207680.16)*(6.79/100)</f>
        <v>220748.44286400001</v>
      </c>
      <c r="C57" s="176">
        <v>0</v>
      </c>
      <c r="D57" s="176">
        <v>0</v>
      </c>
      <c r="E57" s="176">
        <v>0</v>
      </c>
      <c r="F57" s="176">
        <v>0</v>
      </c>
      <c r="G57" s="176">
        <f>2429.4*12</f>
        <v>29152.800000000003</v>
      </c>
      <c r="H57" s="277">
        <f t="shared" si="7"/>
        <v>39889.243625524803</v>
      </c>
      <c r="I57" s="278">
        <v>0</v>
      </c>
      <c r="J57" s="176">
        <f t="shared" si="8"/>
        <v>18395.703572000002</v>
      </c>
      <c r="K57" s="176">
        <f t="shared" si="9"/>
        <v>2207.4844286400003</v>
      </c>
      <c r="L57" s="176">
        <f t="shared" si="10"/>
        <v>1784.6399999999999</v>
      </c>
      <c r="M57" s="188">
        <f t="shared" si="11"/>
        <v>81.36</v>
      </c>
      <c r="N57" s="176">
        <v>0</v>
      </c>
      <c r="O57" s="188">
        <f t="shared" si="12"/>
        <v>312259.67449016485</v>
      </c>
      <c r="P57" s="160"/>
      <c r="Q57" s="131"/>
      <c r="R57" s="131"/>
    </row>
    <row r="58" spans="1:18" s="70" customFormat="1" thickBot="1">
      <c r="A58" s="77"/>
      <c r="B58" s="151">
        <f>SUM(B38:B57)</f>
        <v>5286372.3335519992</v>
      </c>
      <c r="C58" s="151">
        <f t="shared" ref="C58:N58" si="14">SUM(C38:C57)</f>
        <v>0</v>
      </c>
      <c r="D58" s="151">
        <f t="shared" si="14"/>
        <v>0</v>
      </c>
      <c r="E58" s="151">
        <f t="shared" ref="E58:M58" si="15">SUM(E38:E57)</f>
        <v>837318.36</v>
      </c>
      <c r="F58" s="151">
        <f t="shared" si="15"/>
        <v>62544</v>
      </c>
      <c r="G58" s="151">
        <f t="shared" si="15"/>
        <v>502262.51999999996</v>
      </c>
      <c r="H58" s="151">
        <f t="shared" si="15"/>
        <v>954783.90894283215</v>
      </c>
      <c r="I58" s="151">
        <f t="shared" si="15"/>
        <v>62544</v>
      </c>
      <c r="J58" s="151">
        <f t="shared" si="15"/>
        <v>440531.02779600018</v>
      </c>
      <c r="K58" s="151">
        <f t="shared" si="15"/>
        <v>52863.723335520015</v>
      </c>
      <c r="L58" s="151">
        <f t="shared" si="15"/>
        <v>35621.879999999997</v>
      </c>
      <c r="M58" s="151">
        <f t="shared" si="15"/>
        <v>1627.1999999999994</v>
      </c>
      <c r="N58" s="151">
        <f t="shared" si="14"/>
        <v>0</v>
      </c>
      <c r="O58" s="330">
        <f>SUM(B58:N58)</f>
        <v>8236468.9536263524</v>
      </c>
      <c r="P58" s="160"/>
      <c r="Q58" s="131"/>
      <c r="R58" s="131"/>
    </row>
    <row r="60" spans="1:18" s="70" customFormat="1">
      <c r="A60" s="69" t="s">
        <v>162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197"/>
      <c r="N60" s="197"/>
      <c r="O60" s="131"/>
      <c r="P60" s="228"/>
      <c r="Q60" s="131"/>
      <c r="R60" s="131"/>
    </row>
    <row r="61" spans="1:18" s="70" customFormat="1" thickBot="1">
      <c r="A61" s="78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197"/>
      <c r="N61" s="197"/>
      <c r="O61" s="131"/>
      <c r="P61" s="228"/>
      <c r="Q61" s="131"/>
      <c r="R61" s="131"/>
    </row>
    <row r="62" spans="1:18" s="70" customFormat="1" ht="14.25">
      <c r="A62" s="73"/>
      <c r="B62" s="144" t="s">
        <v>114</v>
      </c>
      <c r="C62" s="144" t="s">
        <v>144</v>
      </c>
      <c r="D62" s="145" t="s">
        <v>145</v>
      </c>
      <c r="E62" s="144" t="s">
        <v>115</v>
      </c>
      <c r="F62" s="144" t="s">
        <v>116</v>
      </c>
      <c r="G62" s="144" t="s">
        <v>118</v>
      </c>
      <c r="H62" s="144" t="s">
        <v>146</v>
      </c>
      <c r="I62" s="144" t="s">
        <v>117</v>
      </c>
      <c r="J62" s="144" t="s">
        <v>120</v>
      </c>
      <c r="K62" s="144" t="s">
        <v>122</v>
      </c>
      <c r="L62" s="144" t="s">
        <v>147</v>
      </c>
      <c r="M62" s="144" t="s">
        <v>148</v>
      </c>
      <c r="N62" s="144" t="s">
        <v>172</v>
      </c>
      <c r="O62" s="217" t="s">
        <v>123</v>
      </c>
      <c r="P62" s="228"/>
      <c r="Q62" s="131"/>
      <c r="R62" s="131"/>
    </row>
    <row r="63" spans="1:18" s="70" customFormat="1" thickBot="1">
      <c r="A63" s="79"/>
      <c r="B63" s="146" t="s">
        <v>124</v>
      </c>
      <c r="C63" s="146" t="s">
        <v>124</v>
      </c>
      <c r="D63" s="148" t="s">
        <v>149</v>
      </c>
      <c r="E63" s="146" t="s">
        <v>124</v>
      </c>
      <c r="F63" s="146"/>
      <c r="G63" s="146" t="s">
        <v>125</v>
      </c>
      <c r="H63" s="146" t="s">
        <v>126</v>
      </c>
      <c r="I63" s="146" t="s">
        <v>124</v>
      </c>
      <c r="J63" s="146" t="s">
        <v>171</v>
      </c>
      <c r="K63" s="146"/>
      <c r="L63" s="146"/>
      <c r="M63" s="146"/>
      <c r="N63" s="146" t="s">
        <v>170</v>
      </c>
      <c r="O63" s="219"/>
      <c r="P63" s="228"/>
      <c r="Q63" s="131"/>
      <c r="R63" s="131"/>
    </row>
    <row r="64" spans="1:18" s="286" customFormat="1" ht="14.25">
      <c r="A64" s="99" t="s">
        <v>163</v>
      </c>
      <c r="B64" s="176">
        <f>(7997.31*12)*106.79/100</f>
        <v>102483.92818800001</v>
      </c>
      <c r="C64" s="176">
        <v>0</v>
      </c>
      <c r="D64" s="297">
        <v>0</v>
      </c>
      <c r="E64" s="176">
        <v>0</v>
      </c>
      <c r="F64" s="176">
        <v>0</v>
      </c>
      <c r="G64" s="176">
        <v>0</v>
      </c>
      <c r="H64" s="176">
        <f>B64*18.07%</f>
        <v>18518.845823571603</v>
      </c>
      <c r="I64" s="176">
        <v>0</v>
      </c>
      <c r="J64" s="176">
        <f>B64/12</f>
        <v>8540.327349000001</v>
      </c>
      <c r="K64" s="176">
        <f>B64*1%</f>
        <v>1024.83928188</v>
      </c>
      <c r="L64" s="176">
        <f>B64*1%</f>
        <v>1024.83928188</v>
      </c>
      <c r="M64" s="176">
        <f>(6.78)*12</f>
        <v>81.36</v>
      </c>
      <c r="N64" s="176">
        <v>0</v>
      </c>
      <c r="O64" s="331">
        <f t="shared" ref="O64:O69" si="16">SUM(B64:N64)</f>
        <v>131674.1399243316</v>
      </c>
      <c r="P64" s="320"/>
      <c r="Q64" s="228"/>
      <c r="R64" s="228"/>
    </row>
    <row r="65" spans="1:18" s="70" customFormat="1" ht="14.25">
      <c r="A65" s="99" t="s">
        <v>318</v>
      </c>
      <c r="B65" s="133">
        <f>(7062.15*12)*106.79/100</f>
        <v>90500.039819999991</v>
      </c>
      <c r="C65" s="133">
        <v>0</v>
      </c>
      <c r="D65" s="134">
        <v>0</v>
      </c>
      <c r="E65" s="133">
        <v>0</v>
      </c>
      <c r="F65" s="133">
        <v>0</v>
      </c>
      <c r="G65" s="133">
        <v>0</v>
      </c>
      <c r="H65" s="133">
        <f>B65*18.07%</f>
        <v>16353.357195473998</v>
      </c>
      <c r="I65" s="133">
        <v>0</v>
      </c>
      <c r="J65" s="133">
        <f>B65/12</f>
        <v>7541.6699849999995</v>
      </c>
      <c r="K65" s="133">
        <f>B65*1%</f>
        <v>905.00039819999995</v>
      </c>
      <c r="L65" s="133">
        <f>B65*1%</f>
        <v>905.00039819999995</v>
      </c>
      <c r="M65" s="176">
        <f t="shared" ref="M65:M68" si="17">(6.78)*12</f>
        <v>81.36</v>
      </c>
      <c r="N65" s="133">
        <v>0</v>
      </c>
      <c r="O65" s="331">
        <f t="shared" si="16"/>
        <v>116286.42779687401</v>
      </c>
      <c r="P65" s="160"/>
      <c r="Q65" s="228"/>
      <c r="R65" s="131"/>
    </row>
    <row r="66" spans="1:18" s="70" customFormat="1" ht="14.25">
      <c r="A66" s="99" t="s">
        <v>319</v>
      </c>
      <c r="B66" s="133">
        <f>(7062.15*12)*106.79/100</f>
        <v>90500.039819999991</v>
      </c>
      <c r="C66" s="133">
        <v>0</v>
      </c>
      <c r="D66" s="134">
        <v>0</v>
      </c>
      <c r="E66" s="133">
        <v>0</v>
      </c>
      <c r="F66" s="133">
        <v>0</v>
      </c>
      <c r="G66" s="133">
        <v>0</v>
      </c>
      <c r="H66" s="133">
        <f>B66*18.07%</f>
        <v>16353.357195473998</v>
      </c>
      <c r="I66" s="133">
        <v>0</v>
      </c>
      <c r="J66" s="133">
        <f>B66/12</f>
        <v>7541.6699849999995</v>
      </c>
      <c r="K66" s="133">
        <f>B66*1%</f>
        <v>905.00039819999995</v>
      </c>
      <c r="L66" s="133">
        <f>B66*1%</f>
        <v>905.00039819999995</v>
      </c>
      <c r="M66" s="176">
        <f t="shared" si="17"/>
        <v>81.36</v>
      </c>
      <c r="N66" s="133">
        <v>0</v>
      </c>
      <c r="O66" s="331">
        <f t="shared" si="16"/>
        <v>116286.42779687401</v>
      </c>
      <c r="P66" s="160"/>
      <c r="Q66" s="228"/>
      <c r="R66" s="131"/>
    </row>
    <row r="67" spans="1:18" s="70" customFormat="1" ht="14.25">
      <c r="A67" s="100" t="s">
        <v>320</v>
      </c>
      <c r="B67" s="133">
        <f>(8333.33*12)*106.79/100</f>
        <v>106789.95728399999</v>
      </c>
      <c r="C67" s="135">
        <v>0</v>
      </c>
      <c r="D67" s="134">
        <v>0</v>
      </c>
      <c r="E67" s="135">
        <v>0</v>
      </c>
      <c r="F67" s="135">
        <v>0</v>
      </c>
      <c r="G67" s="135">
        <v>0</v>
      </c>
      <c r="H67" s="133">
        <v>0</v>
      </c>
      <c r="I67" s="135">
        <v>0</v>
      </c>
      <c r="J67" s="133">
        <f>B67/12</f>
        <v>8899.1631069999985</v>
      </c>
      <c r="K67" s="133">
        <f>B67*1%</f>
        <v>1067.89957284</v>
      </c>
      <c r="L67" s="133">
        <f>B67*1%</f>
        <v>1067.89957284</v>
      </c>
      <c r="M67" s="176">
        <f t="shared" si="17"/>
        <v>81.36</v>
      </c>
      <c r="N67" s="133">
        <v>0</v>
      </c>
      <c r="O67" s="331">
        <f t="shared" si="16"/>
        <v>117906.27953668</v>
      </c>
      <c r="P67" s="160"/>
      <c r="Q67" s="228"/>
      <c r="R67" s="131"/>
    </row>
    <row r="68" spans="1:18" s="70" customFormat="1" thickBot="1">
      <c r="A68" s="100" t="s">
        <v>321</v>
      </c>
      <c r="B68" s="133">
        <f>(8333.33*12)*106.79/100</f>
        <v>106789.95728399999</v>
      </c>
      <c r="C68" s="135">
        <v>0</v>
      </c>
      <c r="D68" s="135">
        <v>0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f>B68/12</f>
        <v>8899.1631069999985</v>
      </c>
      <c r="K68" s="135">
        <f>B68*1%</f>
        <v>1067.89957284</v>
      </c>
      <c r="L68" s="135">
        <f>B68*1%</f>
        <v>1067.89957284</v>
      </c>
      <c r="M68" s="176">
        <f t="shared" si="17"/>
        <v>81.36</v>
      </c>
      <c r="N68" s="135">
        <v>0</v>
      </c>
      <c r="O68" s="135">
        <f t="shared" si="16"/>
        <v>117906.27953668</v>
      </c>
      <c r="P68" s="160"/>
      <c r="Q68" s="228"/>
      <c r="R68" s="131"/>
    </row>
    <row r="69" spans="1:18" s="70" customFormat="1" thickBot="1">
      <c r="A69" s="101"/>
      <c r="B69" s="153">
        <f>SUM(B64:B68)</f>
        <v>497063.92239600001</v>
      </c>
      <c r="C69" s="153">
        <f t="shared" ref="C69:N69" si="18">SUM(C64:C68)</f>
        <v>0</v>
      </c>
      <c r="D69" s="153">
        <f t="shared" si="18"/>
        <v>0</v>
      </c>
      <c r="E69" s="153">
        <f t="shared" si="18"/>
        <v>0</v>
      </c>
      <c r="F69" s="153">
        <f t="shared" si="18"/>
        <v>0</v>
      </c>
      <c r="G69" s="153">
        <f t="shared" si="18"/>
        <v>0</v>
      </c>
      <c r="H69" s="153">
        <f>SUM(H64:H68)</f>
        <v>51225.560214519595</v>
      </c>
      <c r="I69" s="153">
        <f t="shared" si="18"/>
        <v>0</v>
      </c>
      <c r="J69" s="153">
        <f>SUM(J64:J68)</f>
        <v>41421.993533000001</v>
      </c>
      <c r="K69" s="153">
        <f>SUM(K64:K68)</f>
        <v>4970.63922396</v>
      </c>
      <c r="L69" s="153">
        <f>SUM(L64:L68)</f>
        <v>4970.63922396</v>
      </c>
      <c r="M69" s="153">
        <f>SUM(M64:M68)</f>
        <v>406.8</v>
      </c>
      <c r="N69" s="153">
        <f t="shared" si="18"/>
        <v>0</v>
      </c>
      <c r="O69" s="154">
        <f t="shared" si="16"/>
        <v>600059.55459143966</v>
      </c>
      <c r="P69" s="160"/>
      <c r="Q69" s="228"/>
      <c r="R69" s="131"/>
    </row>
    <row r="70" spans="1:18">
      <c r="Q70" s="4"/>
    </row>
    <row r="71" spans="1:18" s="70" customFormat="1">
      <c r="A71" s="69" t="s">
        <v>29</v>
      </c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28"/>
      <c r="Q71" s="228"/>
      <c r="R71" s="131"/>
    </row>
    <row r="72" spans="1:18" s="70" customFormat="1" thickBot="1">
      <c r="A72" s="80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28"/>
      <c r="Q72" s="228"/>
      <c r="R72" s="131"/>
    </row>
    <row r="73" spans="1:18" s="70" customFormat="1" ht="14.25">
      <c r="A73" s="81"/>
      <c r="B73" s="144" t="s">
        <v>114</v>
      </c>
      <c r="C73" s="144" t="s">
        <v>144</v>
      </c>
      <c r="D73" s="145" t="s">
        <v>145</v>
      </c>
      <c r="E73" s="144" t="s">
        <v>115</v>
      </c>
      <c r="F73" s="144" t="s">
        <v>116</v>
      </c>
      <c r="G73" s="155" t="s">
        <v>118</v>
      </c>
      <c r="H73" s="155" t="s">
        <v>146</v>
      </c>
      <c r="I73" s="156" t="s">
        <v>117</v>
      </c>
      <c r="J73" s="132" t="s">
        <v>120</v>
      </c>
      <c r="K73" s="144" t="s">
        <v>122</v>
      </c>
      <c r="L73" s="144" t="s">
        <v>147</v>
      </c>
      <c r="M73" s="156" t="s">
        <v>148</v>
      </c>
      <c r="N73" s="198" t="s">
        <v>172</v>
      </c>
      <c r="O73" s="217" t="s">
        <v>123</v>
      </c>
      <c r="P73" s="228"/>
      <c r="Q73" s="228"/>
      <c r="R73" s="131"/>
    </row>
    <row r="74" spans="1:18" s="70" customFormat="1" ht="14.25">
      <c r="A74" s="299"/>
      <c r="B74" s="146" t="s">
        <v>124</v>
      </c>
      <c r="C74" s="146" t="s">
        <v>124</v>
      </c>
      <c r="D74" s="300" t="s">
        <v>149</v>
      </c>
      <c r="E74" s="146" t="s">
        <v>124</v>
      </c>
      <c r="F74" s="146" t="s">
        <v>164</v>
      </c>
      <c r="G74" s="157" t="s">
        <v>125</v>
      </c>
      <c r="H74" s="300" t="s">
        <v>126</v>
      </c>
      <c r="I74" s="301" t="s">
        <v>124</v>
      </c>
      <c r="J74" s="302" t="s">
        <v>171</v>
      </c>
      <c r="K74" s="146"/>
      <c r="L74" s="146"/>
      <c r="M74" s="303"/>
      <c r="N74" s="304" t="s">
        <v>170</v>
      </c>
      <c r="O74" s="219"/>
      <c r="P74" s="228"/>
      <c r="Q74" s="228"/>
      <c r="R74" s="131"/>
    </row>
    <row r="75" spans="1:18" s="286" customFormat="1" ht="14.25">
      <c r="A75" s="293" t="s">
        <v>201</v>
      </c>
      <c r="B75" s="133">
        <f>(16582.95*12)+(198995.4)*(6.79/100)</f>
        <v>212507.18766000003</v>
      </c>
      <c r="C75" s="188">
        <v>0</v>
      </c>
      <c r="D75" s="188">
        <v>0</v>
      </c>
      <c r="E75" s="176">
        <f>3821.34*12</f>
        <v>45856.08</v>
      </c>
      <c r="F75" s="282">
        <f>300*12</f>
        <v>3600</v>
      </c>
      <c r="G75" s="188">
        <f>2831.4*12</f>
        <v>33976.800000000003</v>
      </c>
      <c r="H75" s="188">
        <f>+B75*18.07%</f>
        <v>38400.048810162007</v>
      </c>
      <c r="I75" s="176">
        <f>400*12</f>
        <v>4800</v>
      </c>
      <c r="J75" s="176">
        <f>+B75/12</f>
        <v>17708.932305000002</v>
      </c>
      <c r="K75" s="188">
        <f>+B75*1%</f>
        <v>2125.0718766000005</v>
      </c>
      <c r="L75" s="188">
        <f>148.72*12</f>
        <v>1784.6399999999999</v>
      </c>
      <c r="M75" s="188">
        <f>+(6.78)*12</f>
        <v>81.36</v>
      </c>
      <c r="N75" s="292">
        <v>0</v>
      </c>
      <c r="O75" s="188">
        <f>SUM(B75:N75)</f>
        <v>360840.120651762</v>
      </c>
      <c r="P75" s="320"/>
      <c r="Q75" s="228"/>
      <c r="R75" s="228"/>
    </row>
    <row r="76" spans="1:18" s="286" customFormat="1" ht="14.25">
      <c r="A76" s="316" t="s">
        <v>200</v>
      </c>
      <c r="B76" s="133">
        <f>(12129.23*12)+(145550.76)*(6.79/100)</f>
        <v>155433.65660400002</v>
      </c>
      <c r="C76" s="188">
        <v>0</v>
      </c>
      <c r="D76" s="188">
        <v>0</v>
      </c>
      <c r="E76" s="188">
        <v>0</v>
      </c>
      <c r="F76" s="282">
        <f>300*12</f>
        <v>3600</v>
      </c>
      <c r="G76" s="188">
        <f>1614*12</f>
        <v>19368</v>
      </c>
      <c r="H76" s="188">
        <f>+B76*18.07%</f>
        <v>28086.861748342802</v>
      </c>
      <c r="I76" s="188">
        <v>0</v>
      </c>
      <c r="J76" s="176">
        <f>+B76/12</f>
        <v>12952.804717000001</v>
      </c>
      <c r="K76" s="188">
        <f>+B76*1%</f>
        <v>1554.3365660400002</v>
      </c>
      <c r="L76" s="188">
        <f t="shared" ref="L76:L85" si="19">148.72*12</f>
        <v>1784.6399999999999</v>
      </c>
      <c r="M76" s="188">
        <f t="shared" ref="M76:M85" si="20">+(6.78)*12</f>
        <v>81.36</v>
      </c>
      <c r="N76" s="292">
        <v>0</v>
      </c>
      <c r="O76" s="188">
        <f>SUM(B76:N76)</f>
        <v>222861.65963538282</v>
      </c>
      <c r="P76" s="320"/>
      <c r="Q76" s="228"/>
      <c r="R76" s="228"/>
    </row>
    <row r="77" spans="1:18" s="286" customFormat="1" ht="14.25">
      <c r="A77" s="89" t="s">
        <v>197</v>
      </c>
      <c r="B77" s="133">
        <f>(31636.12*12)+(379633.44)*(6.79/100)</f>
        <v>405410.55057600001</v>
      </c>
      <c r="C77" s="188">
        <v>0</v>
      </c>
      <c r="D77" s="188">
        <v>0</v>
      </c>
      <c r="E77" s="176">
        <f>9242.57*12</f>
        <v>110910.84</v>
      </c>
      <c r="F77" s="188">
        <f>459.81*12</f>
        <v>5517.72</v>
      </c>
      <c r="G77" s="188">
        <f>2016*12</f>
        <v>24192</v>
      </c>
      <c r="H77" s="188">
        <f>+B77*18.07%</f>
        <v>73257.686489083208</v>
      </c>
      <c r="I77" s="176">
        <f>448*12</f>
        <v>5376</v>
      </c>
      <c r="J77" s="188">
        <f>+B77/12</f>
        <v>33784.212548000003</v>
      </c>
      <c r="K77" s="188">
        <f>+B77*1%</f>
        <v>4054.1055057600001</v>
      </c>
      <c r="L77" s="188">
        <f t="shared" si="19"/>
        <v>1784.6399999999999</v>
      </c>
      <c r="M77" s="188">
        <f t="shared" si="20"/>
        <v>81.36</v>
      </c>
      <c r="N77" s="292">
        <v>0</v>
      </c>
      <c r="O77" s="188">
        <f>SUM(B77:N77)</f>
        <v>664369.11511884315</v>
      </c>
      <c r="P77" s="320"/>
      <c r="Q77" s="228"/>
      <c r="R77" s="228"/>
    </row>
    <row r="78" spans="1:18" s="286" customFormat="1" ht="14.25">
      <c r="A78" s="305" t="s">
        <v>188</v>
      </c>
      <c r="B78" s="158">
        <f>(17220.58*12)+(207680.16)*(6.79/100)</f>
        <v>220748.44286400001</v>
      </c>
      <c r="C78" s="317">
        <v>0</v>
      </c>
      <c r="D78" s="188">
        <v>0</v>
      </c>
      <c r="E78" s="318">
        <v>0</v>
      </c>
      <c r="F78" s="319">
        <f>370.61*12</f>
        <v>4447.32</v>
      </c>
      <c r="G78" s="188">
        <f>2016*12</f>
        <v>24192</v>
      </c>
      <c r="H78" s="188">
        <f>B78*18.07%</f>
        <v>39889.243625524803</v>
      </c>
      <c r="I78" s="320">
        <v>0</v>
      </c>
      <c r="J78" s="188">
        <f>B78/12</f>
        <v>18395.703572000002</v>
      </c>
      <c r="K78" s="320">
        <f>B78*1%</f>
        <v>2207.4844286400003</v>
      </c>
      <c r="L78" s="188">
        <f t="shared" si="19"/>
        <v>1784.6399999999999</v>
      </c>
      <c r="M78" s="188">
        <f t="shared" si="20"/>
        <v>81.36</v>
      </c>
      <c r="N78" s="188">
        <v>0</v>
      </c>
      <c r="O78" s="188">
        <f t="shared" ref="O78:O85" si="21">SUM(B78:N78)</f>
        <v>311746.19449016487</v>
      </c>
      <c r="P78" s="320"/>
      <c r="Q78" s="228"/>
      <c r="R78" s="228"/>
    </row>
    <row r="79" spans="1:18" s="286" customFormat="1" ht="14.25">
      <c r="A79" s="306" t="s">
        <v>189</v>
      </c>
      <c r="B79" s="133">
        <f>(31636.12*12)+(379633.44)*(6.79/100)</f>
        <v>405410.55057600001</v>
      </c>
      <c r="C79" s="297">
        <v>0</v>
      </c>
      <c r="D79" s="176">
        <v>0</v>
      </c>
      <c r="E79" s="277">
        <f>9242.57*12</f>
        <v>110910.84</v>
      </c>
      <c r="F79" s="278">
        <f>478*12</f>
        <v>5736</v>
      </c>
      <c r="G79" s="176">
        <f>1614*12</f>
        <v>19368</v>
      </c>
      <c r="H79" s="176">
        <f>B79*18.07%</f>
        <v>73257.686489083208</v>
      </c>
      <c r="I79" s="307">
        <f>448*12</f>
        <v>5376</v>
      </c>
      <c r="J79" s="176">
        <f>B79/12</f>
        <v>33784.212548000003</v>
      </c>
      <c r="K79" s="307">
        <f>B79*1%</f>
        <v>4054.1055057600001</v>
      </c>
      <c r="L79" s="176">
        <f t="shared" si="19"/>
        <v>1784.6399999999999</v>
      </c>
      <c r="M79" s="188">
        <f t="shared" si="20"/>
        <v>81.36</v>
      </c>
      <c r="N79" s="176">
        <v>0</v>
      </c>
      <c r="O79" s="176">
        <f t="shared" si="21"/>
        <v>659763.39511884318</v>
      </c>
      <c r="P79" s="320"/>
      <c r="Q79" s="228"/>
      <c r="R79" s="228"/>
    </row>
    <row r="80" spans="1:18" s="286" customFormat="1" ht="14.25">
      <c r="A80" s="305" t="s">
        <v>238</v>
      </c>
      <c r="B80" s="133">
        <f>(24490.76*12)+(293889.12)*(6.79/100)</f>
        <v>313844.19124800002</v>
      </c>
      <c r="C80" s="297">
        <v>0</v>
      </c>
      <c r="D80" s="176">
        <v>0</v>
      </c>
      <c r="E80" s="176">
        <v>0</v>
      </c>
      <c r="F80" s="278">
        <f>478*12</f>
        <v>5736</v>
      </c>
      <c r="G80" s="176">
        <f>1254.6*12</f>
        <v>15055.199999999999</v>
      </c>
      <c r="H80" s="176">
        <f t="shared" ref="H80:H85" si="22">B80*18.07%</f>
        <v>56711.645358513604</v>
      </c>
      <c r="I80" s="320">
        <f>400*12</f>
        <v>4800</v>
      </c>
      <c r="J80" s="176">
        <f t="shared" ref="J80:J85" si="23">B80/12</f>
        <v>26153.682604000001</v>
      </c>
      <c r="K80" s="307">
        <f t="shared" ref="K80:K85" si="24">B80*1%</f>
        <v>3138.4419124800002</v>
      </c>
      <c r="L80" s="176">
        <f t="shared" si="19"/>
        <v>1784.6399999999999</v>
      </c>
      <c r="M80" s="188">
        <f t="shared" si="20"/>
        <v>81.36</v>
      </c>
      <c r="N80" s="176">
        <v>0</v>
      </c>
      <c r="O80" s="176">
        <f t="shared" si="21"/>
        <v>427305.16112299362</v>
      </c>
      <c r="P80" s="320"/>
      <c r="Q80" s="228"/>
      <c r="R80" s="228"/>
    </row>
    <row r="81" spans="1:18" s="286" customFormat="1" ht="14.25">
      <c r="A81" s="321" t="s">
        <v>190</v>
      </c>
      <c r="B81" s="133">
        <f>(31636.12*12)+(379633.44)*(6.79/100)</f>
        <v>405410.55057600001</v>
      </c>
      <c r="C81" s="297">
        <v>0</v>
      </c>
      <c r="D81" s="176">
        <v>0</v>
      </c>
      <c r="E81" s="277">
        <f>9242.57*12</f>
        <v>110910.84</v>
      </c>
      <c r="F81" s="278">
        <f>478*12</f>
        <v>5736</v>
      </c>
      <c r="G81" s="176">
        <f>1614*12</f>
        <v>19368</v>
      </c>
      <c r="H81" s="176">
        <f t="shared" si="22"/>
        <v>73257.686489083208</v>
      </c>
      <c r="I81" s="322">
        <f>448*12</f>
        <v>5376</v>
      </c>
      <c r="J81" s="176">
        <f t="shared" si="23"/>
        <v>33784.212548000003</v>
      </c>
      <c r="K81" s="307">
        <f t="shared" si="24"/>
        <v>4054.1055057600001</v>
      </c>
      <c r="L81" s="176">
        <f t="shared" si="19"/>
        <v>1784.6399999999999</v>
      </c>
      <c r="M81" s="188">
        <f t="shared" si="20"/>
        <v>81.36</v>
      </c>
      <c r="N81" s="176">
        <v>0</v>
      </c>
      <c r="O81" s="176">
        <f t="shared" si="21"/>
        <v>659763.39511884318</v>
      </c>
      <c r="P81" s="320"/>
      <c r="Q81" s="228"/>
      <c r="R81" s="228"/>
    </row>
    <row r="82" spans="1:18" s="286" customFormat="1" ht="14.25">
      <c r="A82" s="82" t="s">
        <v>258</v>
      </c>
      <c r="B82" s="133">
        <v>0</v>
      </c>
      <c r="C82" s="297">
        <v>0</v>
      </c>
      <c r="D82" s="176">
        <v>0</v>
      </c>
      <c r="E82" s="277">
        <v>0</v>
      </c>
      <c r="F82" s="176">
        <v>0</v>
      </c>
      <c r="G82" s="277">
        <v>0</v>
      </c>
      <c r="H82" s="176">
        <f t="shared" si="22"/>
        <v>0</v>
      </c>
      <c r="I82" s="322">
        <v>0</v>
      </c>
      <c r="J82" s="176">
        <v>0</v>
      </c>
      <c r="K82" s="307">
        <v>0</v>
      </c>
      <c r="L82" s="176">
        <v>0</v>
      </c>
      <c r="M82" s="188"/>
      <c r="N82" s="176">
        <v>0</v>
      </c>
      <c r="O82" s="176">
        <v>0</v>
      </c>
      <c r="P82" s="320"/>
      <c r="Q82" s="228"/>
      <c r="R82" s="228"/>
    </row>
    <row r="83" spans="1:18" s="286" customFormat="1" ht="14.25">
      <c r="A83" s="306" t="s">
        <v>191</v>
      </c>
      <c r="B83" s="133">
        <f>(31636.12*12)+(379633.44)*(6.79/100)</f>
        <v>405410.55057600001</v>
      </c>
      <c r="C83" s="297">
        <v>0</v>
      </c>
      <c r="D83" s="176">
        <v>0</v>
      </c>
      <c r="E83" s="277">
        <f>9242.57*12</f>
        <v>110910.84</v>
      </c>
      <c r="F83" s="176">
        <f>478*12</f>
        <v>5736</v>
      </c>
      <c r="G83" s="277">
        <f>2016*12</f>
        <v>24192</v>
      </c>
      <c r="H83" s="176">
        <f t="shared" si="22"/>
        <v>73257.686489083208</v>
      </c>
      <c r="I83" s="307">
        <f>448*12</f>
        <v>5376</v>
      </c>
      <c r="J83" s="176">
        <f t="shared" si="23"/>
        <v>33784.212548000003</v>
      </c>
      <c r="K83" s="307">
        <f t="shared" si="24"/>
        <v>4054.1055057600001</v>
      </c>
      <c r="L83" s="176">
        <f t="shared" si="19"/>
        <v>1784.6399999999999</v>
      </c>
      <c r="M83" s="188">
        <f t="shared" si="20"/>
        <v>81.36</v>
      </c>
      <c r="N83" s="176">
        <v>0</v>
      </c>
      <c r="O83" s="176">
        <f t="shared" si="21"/>
        <v>664587.39511884318</v>
      </c>
      <c r="P83" s="320"/>
      <c r="Q83" s="228"/>
      <c r="R83" s="228"/>
    </row>
    <row r="84" spans="1:18" s="286" customFormat="1" ht="14.25">
      <c r="A84" s="82" t="s">
        <v>192</v>
      </c>
      <c r="B84" s="133">
        <v>0</v>
      </c>
      <c r="C84" s="297">
        <v>0</v>
      </c>
      <c r="D84" s="176">
        <v>0</v>
      </c>
      <c r="E84" s="176">
        <f>+B84*35%</f>
        <v>0</v>
      </c>
      <c r="F84" s="277">
        <v>0</v>
      </c>
      <c r="G84" s="277">
        <v>0</v>
      </c>
      <c r="H84" s="176">
        <f>+B84*18.07%</f>
        <v>0</v>
      </c>
      <c r="I84" s="176">
        <v>0</v>
      </c>
      <c r="J84" s="176">
        <f t="shared" si="23"/>
        <v>0</v>
      </c>
      <c r="K84" s="307">
        <f t="shared" si="24"/>
        <v>0</v>
      </c>
      <c r="L84" s="176">
        <v>0</v>
      </c>
      <c r="M84" s="188"/>
      <c r="N84" s="176">
        <v>0</v>
      </c>
      <c r="O84" s="176">
        <f t="shared" si="21"/>
        <v>0</v>
      </c>
      <c r="P84" s="320"/>
      <c r="Q84" s="228"/>
      <c r="R84" s="228"/>
    </row>
    <row r="85" spans="1:18" s="70" customFormat="1" thickBot="1">
      <c r="A85" s="108" t="s">
        <v>193</v>
      </c>
      <c r="B85" s="135">
        <f>(19112.43*12)+(229349.16)*(6.79/100)</f>
        <v>244921.96796400001</v>
      </c>
      <c r="C85" s="133">
        <v>0</v>
      </c>
      <c r="D85" s="133">
        <v>0</v>
      </c>
      <c r="E85" s="133">
        <f>6561.25*12</f>
        <v>78735</v>
      </c>
      <c r="F85" s="133">
        <f>300*12</f>
        <v>3600</v>
      </c>
      <c r="G85" s="135">
        <f>2016*12</f>
        <v>24192</v>
      </c>
      <c r="H85" s="133">
        <f t="shared" si="22"/>
        <v>44257.399611094799</v>
      </c>
      <c r="I85" s="162">
        <f>444*12</f>
        <v>5328</v>
      </c>
      <c r="J85" s="133">
        <f t="shared" si="23"/>
        <v>20410.163997</v>
      </c>
      <c r="K85" s="162">
        <f t="shared" si="24"/>
        <v>2449.2196796400003</v>
      </c>
      <c r="L85" s="133">
        <f t="shared" si="19"/>
        <v>1784.6399999999999</v>
      </c>
      <c r="M85" s="188">
        <f t="shared" si="20"/>
        <v>81.36</v>
      </c>
      <c r="N85" s="176">
        <v>0</v>
      </c>
      <c r="O85" s="176">
        <f t="shared" si="21"/>
        <v>425759.75125173485</v>
      </c>
      <c r="P85" s="160"/>
      <c r="Q85" s="228"/>
      <c r="R85" s="131"/>
    </row>
    <row r="86" spans="1:18" s="70" customFormat="1" thickBot="1">
      <c r="A86" s="83"/>
      <c r="B86" s="164">
        <f>SUM(B75:B85)</f>
        <v>2769097.6486440003</v>
      </c>
      <c r="C86" s="164">
        <f t="shared" ref="C86:N86" si="25">SUM(C75:C85)</f>
        <v>0</v>
      </c>
      <c r="D86" s="164">
        <f t="shared" si="25"/>
        <v>0</v>
      </c>
      <c r="E86" s="164">
        <f t="shared" si="25"/>
        <v>568234.43999999994</v>
      </c>
      <c r="F86" s="164">
        <f t="shared" si="25"/>
        <v>43709.04</v>
      </c>
      <c r="G86" s="164">
        <f t="shared" si="25"/>
        <v>203904</v>
      </c>
      <c r="H86" s="164">
        <f t="shared" si="25"/>
        <v>500375.94510997093</v>
      </c>
      <c r="I86" s="164">
        <f t="shared" si="25"/>
        <v>36432</v>
      </c>
      <c r="J86" s="164">
        <f t="shared" si="25"/>
        <v>230758.13738700002</v>
      </c>
      <c r="K86" s="164">
        <f t="shared" si="25"/>
        <v>27690.976486439999</v>
      </c>
      <c r="L86" s="164">
        <f t="shared" si="25"/>
        <v>16061.759999999997</v>
      </c>
      <c r="M86" s="164">
        <f t="shared" si="25"/>
        <v>732.24</v>
      </c>
      <c r="N86" s="164">
        <f t="shared" si="25"/>
        <v>0</v>
      </c>
      <c r="O86" s="154">
        <f>SUM(B86:N86)</f>
        <v>4396996.1876274114</v>
      </c>
      <c r="P86" s="160"/>
      <c r="Q86" s="228"/>
      <c r="R86" s="131"/>
    </row>
    <row r="87" spans="1:18">
      <c r="Q87" s="4"/>
    </row>
    <row r="88" spans="1:18" s="70" customFormat="1">
      <c r="A88" s="69" t="s">
        <v>165</v>
      </c>
      <c r="B88" s="143"/>
      <c r="C88" s="143"/>
      <c r="D88" s="143"/>
      <c r="E88" s="143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228"/>
      <c r="Q88" s="228"/>
      <c r="R88" s="131"/>
    </row>
    <row r="89" spans="1:18" s="70" customFormat="1" thickBot="1">
      <c r="A89" s="8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28"/>
      <c r="Q89" s="228"/>
      <c r="R89" s="131"/>
    </row>
    <row r="90" spans="1:18" s="70" customFormat="1" thickBot="1">
      <c r="A90" s="85"/>
      <c r="B90" s="165" t="s">
        <v>114</v>
      </c>
      <c r="C90" s="166" t="s">
        <v>144</v>
      </c>
      <c r="D90" s="145" t="s">
        <v>145</v>
      </c>
      <c r="E90" s="155" t="s">
        <v>115</v>
      </c>
      <c r="F90" s="155" t="s">
        <v>116</v>
      </c>
      <c r="G90" s="155" t="s">
        <v>118</v>
      </c>
      <c r="H90" s="155" t="s">
        <v>146</v>
      </c>
      <c r="I90" s="155" t="s">
        <v>117</v>
      </c>
      <c r="J90" s="155" t="s">
        <v>120</v>
      </c>
      <c r="K90" s="155" t="s">
        <v>122</v>
      </c>
      <c r="L90" s="155" t="s">
        <v>147</v>
      </c>
      <c r="M90" s="155" t="s">
        <v>148</v>
      </c>
      <c r="N90" s="198" t="s">
        <v>172</v>
      </c>
      <c r="O90" s="220" t="s">
        <v>123</v>
      </c>
      <c r="P90" s="228"/>
      <c r="Q90" s="228"/>
      <c r="R90" s="131"/>
    </row>
    <row r="91" spans="1:18" s="70" customFormat="1" thickBot="1">
      <c r="A91" s="86"/>
      <c r="B91" s="167" t="s">
        <v>124</v>
      </c>
      <c r="C91" s="168" t="s">
        <v>124</v>
      </c>
      <c r="D91" s="169" t="s">
        <v>149</v>
      </c>
      <c r="E91" s="170" t="s">
        <v>124</v>
      </c>
      <c r="F91" s="170"/>
      <c r="G91" s="170" t="s">
        <v>166</v>
      </c>
      <c r="H91" s="170" t="s">
        <v>126</v>
      </c>
      <c r="I91" s="170" t="s">
        <v>124</v>
      </c>
      <c r="J91" s="146" t="s">
        <v>171</v>
      </c>
      <c r="K91" s="170"/>
      <c r="L91" s="170"/>
      <c r="M91" s="170"/>
      <c r="N91" s="199" t="s">
        <v>170</v>
      </c>
      <c r="O91" s="221"/>
      <c r="P91" s="228"/>
      <c r="Q91" s="228"/>
      <c r="R91" s="131"/>
    </row>
    <row r="92" spans="1:18" s="288" customFormat="1" ht="14.25">
      <c r="A92" s="289" t="s">
        <v>259</v>
      </c>
      <c r="B92" s="283">
        <v>0</v>
      </c>
      <c r="C92" s="283">
        <v>0</v>
      </c>
      <c r="D92" s="283">
        <v>0</v>
      </c>
      <c r="E92" s="285">
        <f>+B92*40%</f>
        <v>0</v>
      </c>
      <c r="F92" s="283">
        <v>0</v>
      </c>
      <c r="G92" s="283">
        <v>0</v>
      </c>
      <c r="H92" s="283">
        <f>+B92*18.07%</f>
        <v>0</v>
      </c>
      <c r="I92" s="285">
        <v>0</v>
      </c>
      <c r="J92" s="285">
        <f>+B92/12</f>
        <v>0</v>
      </c>
      <c r="K92" s="283">
        <f>+B92*1%</f>
        <v>0</v>
      </c>
      <c r="L92" s="283">
        <v>0</v>
      </c>
      <c r="M92" s="283">
        <v>0</v>
      </c>
      <c r="N92" s="290">
        <v>0</v>
      </c>
      <c r="O92" s="332">
        <f>SUM(B92:N92)</f>
        <v>0</v>
      </c>
      <c r="P92" s="328"/>
      <c r="Q92" s="287"/>
      <c r="R92" s="287"/>
    </row>
    <row r="93" spans="1:18" s="288" customFormat="1" ht="14.25">
      <c r="A93" s="289" t="s">
        <v>260</v>
      </c>
      <c r="B93" s="283">
        <v>0</v>
      </c>
      <c r="C93" s="285">
        <v>0</v>
      </c>
      <c r="D93" s="283">
        <v>0</v>
      </c>
      <c r="E93" s="285">
        <v>0</v>
      </c>
      <c r="F93" s="284">
        <v>0</v>
      </c>
      <c r="G93" s="283">
        <v>0</v>
      </c>
      <c r="H93" s="283">
        <f>+B93*18.07%</f>
        <v>0</v>
      </c>
      <c r="I93" s="285"/>
      <c r="J93" s="285">
        <f>+B93/12</f>
        <v>0</v>
      </c>
      <c r="K93" s="283">
        <f>+B93*1%</f>
        <v>0</v>
      </c>
      <c r="L93" s="285">
        <f>+B93*1%</f>
        <v>0</v>
      </c>
      <c r="M93" s="283">
        <v>0</v>
      </c>
      <c r="N93" s="290">
        <v>0</v>
      </c>
      <c r="O93" s="283">
        <f>SUM(B93:N93)</f>
        <v>0</v>
      </c>
      <c r="P93" s="328"/>
      <c r="Q93" s="287"/>
      <c r="R93" s="287"/>
    </row>
    <row r="94" spans="1:18" s="288" customFormat="1" ht="14.25">
      <c r="A94" s="289" t="s">
        <v>261</v>
      </c>
      <c r="B94" s="283">
        <v>0</v>
      </c>
      <c r="C94" s="285">
        <v>0</v>
      </c>
      <c r="D94" s="283">
        <v>0</v>
      </c>
      <c r="E94" s="285">
        <v>0</v>
      </c>
      <c r="F94" s="284">
        <v>0</v>
      </c>
      <c r="G94" s="283">
        <v>0</v>
      </c>
      <c r="H94" s="283">
        <f>+B94*18.07%</f>
        <v>0</v>
      </c>
      <c r="I94" s="285">
        <v>0</v>
      </c>
      <c r="J94" s="285">
        <f>+B94/12</f>
        <v>0</v>
      </c>
      <c r="K94" s="283">
        <f>+B94*1%</f>
        <v>0</v>
      </c>
      <c r="L94" s="285">
        <f>+B94*1%</f>
        <v>0</v>
      </c>
      <c r="M94" s="283">
        <v>0</v>
      </c>
      <c r="N94" s="290">
        <v>0</v>
      </c>
      <c r="O94" s="283">
        <f>SUM(B94:N94)</f>
        <v>0</v>
      </c>
      <c r="P94" s="328"/>
      <c r="Q94" s="287"/>
      <c r="R94" s="287"/>
    </row>
    <row r="95" spans="1:18" s="288" customFormat="1" thickBot="1">
      <c r="A95" s="289" t="s">
        <v>269</v>
      </c>
      <c r="B95" s="283">
        <v>0</v>
      </c>
      <c r="C95" s="283">
        <v>0</v>
      </c>
      <c r="D95" s="283">
        <v>0</v>
      </c>
      <c r="E95" s="285">
        <f>+B95*35%</f>
        <v>0</v>
      </c>
      <c r="F95" s="284">
        <v>0</v>
      </c>
      <c r="G95" s="283">
        <v>0</v>
      </c>
      <c r="H95" s="283">
        <f>+B95*18.07%</f>
        <v>0</v>
      </c>
      <c r="I95" s="285">
        <v>0</v>
      </c>
      <c r="J95" s="285">
        <f>+B95/12</f>
        <v>0</v>
      </c>
      <c r="K95" s="283">
        <f>+B95*1%</f>
        <v>0</v>
      </c>
      <c r="L95" s="283">
        <v>0</v>
      </c>
      <c r="M95" s="283">
        <v>0</v>
      </c>
      <c r="N95" s="290">
        <v>0</v>
      </c>
      <c r="O95" s="283">
        <f>SUM(B95:N95)</f>
        <v>0</v>
      </c>
      <c r="P95" s="328"/>
      <c r="Q95" s="287"/>
      <c r="R95" s="287"/>
    </row>
    <row r="96" spans="1:18" s="70" customFormat="1" ht="14.25">
      <c r="A96" s="87" t="s">
        <v>194</v>
      </c>
      <c r="B96" s="133">
        <f>(31636.12*12)+(379633.44)*(6.79/100)</f>
        <v>405410.55057600001</v>
      </c>
      <c r="C96" s="158">
        <v>0</v>
      </c>
      <c r="D96" s="158">
        <v>0</v>
      </c>
      <c r="E96" s="158">
        <f>9242.57*12</f>
        <v>110910.84</v>
      </c>
      <c r="F96" s="158">
        <f>478*12</f>
        <v>5736</v>
      </c>
      <c r="G96" s="158">
        <f>2461.8*12</f>
        <v>29541.600000000002</v>
      </c>
      <c r="H96" s="158">
        <f t="shared" ref="H96:H110" si="26">+B96*18.07%</f>
        <v>73257.686489083208</v>
      </c>
      <c r="I96" s="172">
        <f>448*12</f>
        <v>5376</v>
      </c>
      <c r="J96" s="173">
        <f>+B96/12</f>
        <v>33784.212548000003</v>
      </c>
      <c r="K96" s="158">
        <f>+B96*1%</f>
        <v>4054.1055057600001</v>
      </c>
      <c r="L96" s="158">
        <f>148.72*12</f>
        <v>1784.6399999999999</v>
      </c>
      <c r="M96" s="158">
        <f>+(6.78)*12</f>
        <v>81.36</v>
      </c>
      <c r="N96" s="200">
        <v>0</v>
      </c>
      <c r="O96" s="188">
        <f>SUM(B96:N96)</f>
        <v>669936.99511884316</v>
      </c>
      <c r="P96" s="160"/>
      <c r="Q96" s="228"/>
      <c r="R96" s="131"/>
    </row>
    <row r="97" spans="1:18" s="70" customFormat="1" ht="14.25">
      <c r="A97" s="88" t="s">
        <v>195</v>
      </c>
      <c r="B97" s="133">
        <f>(22736.42*12)+(272837.04)*(6.79/100)</f>
        <v>291362.67501599999</v>
      </c>
      <c r="C97" s="158">
        <v>0</v>
      </c>
      <c r="D97" s="158">
        <v>0</v>
      </c>
      <c r="E97" s="133">
        <f>+B97*35%</f>
        <v>101976.9362556</v>
      </c>
      <c r="F97" s="173">
        <f>478*12</f>
        <v>5736</v>
      </c>
      <c r="G97" s="158">
        <f>2016*12</f>
        <v>24192</v>
      </c>
      <c r="H97" s="158">
        <f t="shared" si="26"/>
        <v>52649.235375391196</v>
      </c>
      <c r="I97" s="173">
        <f>444*12</f>
        <v>5328</v>
      </c>
      <c r="J97" s="133">
        <f t="shared" ref="J97:J110" si="27">+B97/12</f>
        <v>24280.222917999999</v>
      </c>
      <c r="K97" s="158">
        <f t="shared" ref="K97:K110" si="28">+B97*1%</f>
        <v>2913.62675016</v>
      </c>
      <c r="L97" s="158">
        <f t="shared" ref="L97:L111" si="29">148.72*12</f>
        <v>1784.6399999999999</v>
      </c>
      <c r="M97" s="158">
        <f t="shared" ref="M97:M111" si="30">+(6.78)*12</f>
        <v>81.36</v>
      </c>
      <c r="N97" s="200">
        <v>0</v>
      </c>
      <c r="O97" s="188">
        <f t="shared" ref="O97:O111" si="31">SUM(B97:N97)</f>
        <v>510304.69631515123</v>
      </c>
      <c r="P97" s="160"/>
      <c r="Q97" s="228"/>
      <c r="R97" s="131"/>
    </row>
    <row r="98" spans="1:18" s="70" customFormat="1" ht="14.25">
      <c r="A98" s="72" t="s">
        <v>196</v>
      </c>
      <c r="B98" s="133">
        <f>(31636.12*12)+(379633.44)*(6.79/100)</f>
        <v>405410.55057600001</v>
      </c>
      <c r="C98" s="158">
        <v>0</v>
      </c>
      <c r="D98" s="158">
        <v>0</v>
      </c>
      <c r="E98" s="133">
        <f>9242.57*12</f>
        <v>110910.84</v>
      </c>
      <c r="F98" s="158">
        <f>478*12</f>
        <v>5736</v>
      </c>
      <c r="G98" s="158">
        <f>(2241*12)+(26892)*(3.45%)</f>
        <v>27819.774000000001</v>
      </c>
      <c r="H98" s="158">
        <f t="shared" si="26"/>
        <v>73257.686489083208</v>
      </c>
      <c r="I98" s="133">
        <f>448*12</f>
        <v>5376</v>
      </c>
      <c r="J98" s="133">
        <f t="shared" si="27"/>
        <v>33784.212548000003</v>
      </c>
      <c r="K98" s="158">
        <f t="shared" si="28"/>
        <v>4054.1055057600001</v>
      </c>
      <c r="L98" s="158">
        <f t="shared" si="29"/>
        <v>1784.6399999999999</v>
      </c>
      <c r="M98" s="158">
        <f t="shared" si="30"/>
        <v>81.36</v>
      </c>
      <c r="N98" s="200">
        <v>0</v>
      </c>
      <c r="O98" s="188">
        <f t="shared" si="31"/>
        <v>668215.16911884316</v>
      </c>
      <c r="P98" s="160"/>
      <c r="Q98" s="228"/>
      <c r="R98" s="131"/>
    </row>
    <row r="99" spans="1:18" s="70" customFormat="1" ht="14.25">
      <c r="A99" s="72" t="s">
        <v>198</v>
      </c>
      <c r="B99" s="133">
        <f>(12129.23*12)+(145550.76)*(6.79/100)</f>
        <v>155433.65660400002</v>
      </c>
      <c r="C99" s="158">
        <v>0</v>
      </c>
      <c r="D99" s="158">
        <v>0</v>
      </c>
      <c r="E99" s="133">
        <v>0</v>
      </c>
      <c r="F99" s="173">
        <f>300*12</f>
        <v>3600</v>
      </c>
      <c r="G99" s="158">
        <f>1614*12</f>
        <v>19368</v>
      </c>
      <c r="H99" s="158">
        <f t="shared" si="26"/>
        <v>28086.861748342802</v>
      </c>
      <c r="I99" s="158">
        <v>0</v>
      </c>
      <c r="J99" s="133">
        <f t="shared" si="27"/>
        <v>12952.804717000001</v>
      </c>
      <c r="K99" s="158">
        <f t="shared" si="28"/>
        <v>1554.3365660400002</v>
      </c>
      <c r="L99" s="158">
        <f t="shared" si="29"/>
        <v>1784.6399999999999</v>
      </c>
      <c r="M99" s="158">
        <f t="shared" si="30"/>
        <v>81.36</v>
      </c>
      <c r="N99" s="200">
        <v>0</v>
      </c>
      <c r="O99" s="188">
        <f t="shared" si="31"/>
        <v>222861.65963538282</v>
      </c>
      <c r="P99" s="160"/>
      <c r="Q99" s="228"/>
      <c r="R99" s="131"/>
    </row>
    <row r="100" spans="1:18" s="70" customFormat="1" ht="14.25">
      <c r="A100" s="89" t="s">
        <v>199</v>
      </c>
      <c r="B100" s="133">
        <f>(16068.57*12)+(192822.84)*(6.79/100)</f>
        <v>205915.510836</v>
      </c>
      <c r="C100" s="158">
        <v>0</v>
      </c>
      <c r="D100" s="158">
        <v>0</v>
      </c>
      <c r="E100" s="133">
        <v>0</v>
      </c>
      <c r="F100" s="173">
        <v>0</v>
      </c>
      <c r="G100" s="158">
        <f>1614*12</f>
        <v>19368</v>
      </c>
      <c r="H100" s="158">
        <f t="shared" si="26"/>
        <v>37208.932808065198</v>
      </c>
      <c r="I100" s="133">
        <f>400*12</f>
        <v>4800</v>
      </c>
      <c r="J100" s="158">
        <f t="shared" si="27"/>
        <v>17159.625903</v>
      </c>
      <c r="K100" s="158">
        <f t="shared" si="28"/>
        <v>2059.1551083600002</v>
      </c>
      <c r="L100" s="158">
        <f t="shared" si="29"/>
        <v>1784.6399999999999</v>
      </c>
      <c r="M100" s="158">
        <f t="shared" si="30"/>
        <v>81.36</v>
      </c>
      <c r="N100" s="200">
        <v>0</v>
      </c>
      <c r="O100" s="188">
        <f t="shared" si="31"/>
        <v>288377.22465542518</v>
      </c>
      <c r="P100" s="160"/>
      <c r="Q100" s="228"/>
      <c r="R100" s="131"/>
    </row>
    <row r="101" spans="1:18" s="70" customFormat="1" ht="14.25">
      <c r="A101" s="72" t="s">
        <v>241</v>
      </c>
      <c r="B101" s="133">
        <f>(22736.42*12)+(272837.04)*(6.79/100)</f>
        <v>291362.67501599999</v>
      </c>
      <c r="C101" s="158">
        <v>0</v>
      </c>
      <c r="D101" s="158">
        <v>0</v>
      </c>
      <c r="E101" s="133">
        <f>6561.25*12</f>
        <v>78735</v>
      </c>
      <c r="F101" s="173">
        <f>300*12</f>
        <v>3600</v>
      </c>
      <c r="G101" s="158">
        <f>1614*12</f>
        <v>19368</v>
      </c>
      <c r="H101" s="158">
        <f t="shared" si="26"/>
        <v>52649.235375391196</v>
      </c>
      <c r="I101" s="133">
        <f>444*12</f>
        <v>5328</v>
      </c>
      <c r="J101" s="133">
        <f t="shared" si="27"/>
        <v>24280.222917999999</v>
      </c>
      <c r="K101" s="158">
        <f t="shared" si="28"/>
        <v>2913.62675016</v>
      </c>
      <c r="L101" s="158">
        <f t="shared" si="29"/>
        <v>1784.6399999999999</v>
      </c>
      <c r="M101" s="158">
        <f t="shared" si="30"/>
        <v>81.36</v>
      </c>
      <c r="N101" s="200">
        <v>0</v>
      </c>
      <c r="O101" s="188">
        <f t="shared" si="31"/>
        <v>480102.76005955122</v>
      </c>
      <c r="P101" s="160"/>
      <c r="Q101" s="228"/>
      <c r="R101" s="131"/>
    </row>
    <row r="102" spans="1:18" s="70" customFormat="1" ht="14.25">
      <c r="A102" s="72" t="s">
        <v>242</v>
      </c>
      <c r="B102" s="133">
        <f>(22736.42*12)+(272837.04)*(6.79/100)</f>
        <v>291362.67501599999</v>
      </c>
      <c r="C102" s="158">
        <v>0</v>
      </c>
      <c r="D102" s="158">
        <v>0</v>
      </c>
      <c r="E102" s="133">
        <f>6561.25*12</f>
        <v>78735</v>
      </c>
      <c r="F102" s="133">
        <f>478*12</f>
        <v>5736</v>
      </c>
      <c r="G102" s="158">
        <f>2027.4*12</f>
        <v>24328.800000000003</v>
      </c>
      <c r="H102" s="158">
        <f t="shared" si="26"/>
        <v>52649.235375391196</v>
      </c>
      <c r="I102" s="133">
        <f>444*12</f>
        <v>5328</v>
      </c>
      <c r="J102" s="133">
        <f t="shared" si="27"/>
        <v>24280.222917999999</v>
      </c>
      <c r="K102" s="158">
        <f t="shared" si="28"/>
        <v>2913.62675016</v>
      </c>
      <c r="L102" s="158">
        <f t="shared" si="29"/>
        <v>1784.6399999999999</v>
      </c>
      <c r="M102" s="158">
        <f t="shared" si="30"/>
        <v>81.36</v>
      </c>
      <c r="N102" s="200">
        <v>0</v>
      </c>
      <c r="O102" s="188">
        <f t="shared" si="31"/>
        <v>487199.56005955121</v>
      </c>
      <c r="P102" s="160"/>
      <c r="Q102" s="228"/>
      <c r="R102" s="131"/>
    </row>
    <row r="103" spans="1:18" s="70" customFormat="1" ht="14.25">
      <c r="A103" s="90" t="s">
        <v>202</v>
      </c>
      <c r="B103" s="133">
        <f>(31636.12*12)+(379633.44)*(6.79/100)</f>
        <v>405410.55057600001</v>
      </c>
      <c r="C103" s="158">
        <v>0</v>
      </c>
      <c r="D103" s="158">
        <v>0</v>
      </c>
      <c r="E103" s="133">
        <f>7643.56*12</f>
        <v>91722.72</v>
      </c>
      <c r="F103" s="173">
        <f>478*12</f>
        <v>5736</v>
      </c>
      <c r="G103" s="158">
        <f>1695*12</f>
        <v>20340</v>
      </c>
      <c r="H103" s="158">
        <f t="shared" si="26"/>
        <v>73257.686489083208</v>
      </c>
      <c r="I103" s="133">
        <f>448*12</f>
        <v>5376</v>
      </c>
      <c r="J103" s="133">
        <f t="shared" si="27"/>
        <v>33784.212548000003</v>
      </c>
      <c r="K103" s="158">
        <f t="shared" si="28"/>
        <v>4054.1055057600001</v>
      </c>
      <c r="L103" s="158">
        <f t="shared" si="29"/>
        <v>1784.6399999999999</v>
      </c>
      <c r="M103" s="158">
        <f t="shared" si="30"/>
        <v>81.36</v>
      </c>
      <c r="N103" s="200">
        <v>0</v>
      </c>
      <c r="O103" s="188">
        <f t="shared" si="31"/>
        <v>641547.27511884319</v>
      </c>
      <c r="P103" s="160"/>
      <c r="Q103" s="228"/>
      <c r="R103" s="131"/>
    </row>
    <row r="104" spans="1:18" s="70" customFormat="1" ht="14.25">
      <c r="A104" s="90" t="s">
        <v>240</v>
      </c>
      <c r="B104" s="133">
        <f>(19112.43*12)+(229349.16)*(6.79/100)</f>
        <v>244921.96796400001</v>
      </c>
      <c r="C104" s="158">
        <v>0</v>
      </c>
      <c r="D104" s="158">
        <v>0</v>
      </c>
      <c r="E104" s="133">
        <f>7019.65*12</f>
        <v>84235.799999999988</v>
      </c>
      <c r="F104" s="173">
        <f>300*12</f>
        <v>3600</v>
      </c>
      <c r="G104" s="158">
        <f>1212*12</f>
        <v>14544</v>
      </c>
      <c r="H104" s="158">
        <f t="shared" si="26"/>
        <v>44257.399611094799</v>
      </c>
      <c r="I104" s="133">
        <f>550*12</f>
        <v>6600</v>
      </c>
      <c r="J104" s="133">
        <f t="shared" si="27"/>
        <v>20410.163997</v>
      </c>
      <c r="K104" s="158">
        <f t="shared" si="28"/>
        <v>2449.2196796400003</v>
      </c>
      <c r="L104" s="158">
        <f t="shared" si="29"/>
        <v>1784.6399999999999</v>
      </c>
      <c r="M104" s="158">
        <f t="shared" si="30"/>
        <v>81.36</v>
      </c>
      <c r="N104" s="200">
        <v>0</v>
      </c>
      <c r="O104" s="188">
        <f t="shared" si="31"/>
        <v>422884.55125173484</v>
      </c>
      <c r="P104" s="160"/>
      <c r="Q104" s="228"/>
      <c r="R104" s="131"/>
    </row>
    <row r="105" spans="1:18" s="70" customFormat="1" ht="14.25">
      <c r="A105" s="90" t="s">
        <v>243</v>
      </c>
      <c r="B105" s="133">
        <f>(19112.43*12)+(229349.16)*(6.79/100)</f>
        <v>244921.96796400001</v>
      </c>
      <c r="C105" s="158">
        <v>0</v>
      </c>
      <c r="D105" s="158">
        <v>0</v>
      </c>
      <c r="E105" s="133">
        <f>7019.65*12</f>
        <v>84235.799999999988</v>
      </c>
      <c r="F105" s="173">
        <f>478*12</f>
        <v>5736</v>
      </c>
      <c r="G105" s="158">
        <f>3092.55*12</f>
        <v>37110.600000000006</v>
      </c>
      <c r="H105" s="158">
        <f t="shared" si="26"/>
        <v>44257.399611094799</v>
      </c>
      <c r="I105" s="133">
        <f>550*12</f>
        <v>6600</v>
      </c>
      <c r="J105" s="133">
        <f t="shared" si="27"/>
        <v>20410.163997</v>
      </c>
      <c r="K105" s="158">
        <f t="shared" si="28"/>
        <v>2449.2196796400003</v>
      </c>
      <c r="L105" s="158">
        <f t="shared" si="29"/>
        <v>1784.6399999999999</v>
      </c>
      <c r="M105" s="158">
        <f t="shared" si="30"/>
        <v>81.36</v>
      </c>
      <c r="N105" s="200">
        <v>0</v>
      </c>
      <c r="O105" s="188">
        <f t="shared" si="31"/>
        <v>447587.15125173482</v>
      </c>
      <c r="P105" s="160"/>
      <c r="Q105" s="228"/>
      <c r="R105" s="131"/>
    </row>
    <row r="106" spans="1:18" s="70" customFormat="1" ht="14.25">
      <c r="A106" s="91" t="s">
        <v>317</v>
      </c>
      <c r="B106" s="133">
        <f>(19112.43*12)+(229349.16)*(6.79/100)</f>
        <v>244921.96796400001</v>
      </c>
      <c r="C106" s="158">
        <v>0</v>
      </c>
      <c r="D106" s="158">
        <v>0</v>
      </c>
      <c r="E106" s="133">
        <f>7019.65*12</f>
        <v>84235.799999999988</v>
      </c>
      <c r="F106" s="158">
        <f t="shared" ref="F106:F111" si="32">300*12</f>
        <v>3600</v>
      </c>
      <c r="G106" s="158">
        <f>1212*12</f>
        <v>14544</v>
      </c>
      <c r="H106" s="158">
        <f t="shared" si="26"/>
        <v>44257.399611094799</v>
      </c>
      <c r="I106" s="133">
        <f>550*12</f>
        <v>6600</v>
      </c>
      <c r="J106" s="133">
        <f t="shared" si="27"/>
        <v>20410.163997</v>
      </c>
      <c r="K106" s="158">
        <f t="shared" si="28"/>
        <v>2449.2196796400003</v>
      </c>
      <c r="L106" s="158">
        <f t="shared" si="29"/>
        <v>1784.6399999999999</v>
      </c>
      <c r="M106" s="158">
        <f t="shared" si="30"/>
        <v>81.36</v>
      </c>
      <c r="N106" s="200">
        <v>0</v>
      </c>
      <c r="O106" s="188">
        <f t="shared" si="31"/>
        <v>422884.55125173484</v>
      </c>
      <c r="P106" s="160"/>
      <c r="Q106" s="228"/>
      <c r="R106" s="131"/>
    </row>
    <row r="107" spans="1:18" s="286" customFormat="1" ht="14.25">
      <c r="A107" s="291" t="s">
        <v>312</v>
      </c>
      <c r="B107" s="133">
        <f>(19112.43*12)+(229349.16)*(6.79/100)</f>
        <v>244921.96796400001</v>
      </c>
      <c r="C107" s="188">
        <v>0</v>
      </c>
      <c r="D107" s="188">
        <v>0</v>
      </c>
      <c r="E107" s="176">
        <f>7019.65*12</f>
        <v>84235.799999999988</v>
      </c>
      <c r="F107" s="282">
        <f t="shared" si="32"/>
        <v>3600</v>
      </c>
      <c r="G107" s="188">
        <f>(1560*12)+(18720)*(3.45%)</f>
        <v>19365.84</v>
      </c>
      <c r="H107" s="188">
        <f>+B107*18%</f>
        <v>44085.954233520002</v>
      </c>
      <c r="I107" s="176">
        <f>550*12</f>
        <v>6600</v>
      </c>
      <c r="J107" s="176">
        <f t="shared" si="27"/>
        <v>20410.163997</v>
      </c>
      <c r="K107" s="188">
        <f t="shared" si="28"/>
        <v>2449.2196796400003</v>
      </c>
      <c r="L107" s="158">
        <f t="shared" si="29"/>
        <v>1784.6399999999999</v>
      </c>
      <c r="M107" s="158">
        <f t="shared" si="30"/>
        <v>81.36</v>
      </c>
      <c r="N107" s="292">
        <v>0</v>
      </c>
      <c r="O107" s="188">
        <f t="shared" si="31"/>
        <v>427534.9458741601</v>
      </c>
      <c r="P107" s="320"/>
      <c r="Q107" s="228"/>
      <c r="R107" s="228"/>
    </row>
    <row r="108" spans="1:18" s="286" customFormat="1" ht="14.25">
      <c r="A108" s="293" t="s">
        <v>362</v>
      </c>
      <c r="B108" s="133">
        <f>(19112.43*12)+(229349.16)*(6.79/100)</f>
        <v>244921.96796400001</v>
      </c>
      <c r="C108" s="188">
        <v>0</v>
      </c>
      <c r="D108" s="188">
        <v>0</v>
      </c>
      <c r="E108" s="176">
        <f>7019.65*12</f>
        <v>84235.799999999988</v>
      </c>
      <c r="F108" s="282">
        <f t="shared" si="32"/>
        <v>3600</v>
      </c>
      <c r="G108" s="188">
        <f>(1117.8*12)+(13413.6)*(3.45%)</f>
        <v>13876.369199999999</v>
      </c>
      <c r="H108" s="188">
        <f>+B108*18.07%</f>
        <v>44257.399611094799</v>
      </c>
      <c r="I108" s="176">
        <f>550*12</f>
        <v>6600</v>
      </c>
      <c r="J108" s="176">
        <f>+B108/12</f>
        <v>20410.163997</v>
      </c>
      <c r="K108" s="188">
        <f>+B108*1%</f>
        <v>2449.2196796400003</v>
      </c>
      <c r="L108" s="158">
        <f t="shared" si="29"/>
        <v>1784.6399999999999</v>
      </c>
      <c r="M108" s="158">
        <f t="shared" si="30"/>
        <v>81.36</v>
      </c>
      <c r="N108" s="292">
        <v>0</v>
      </c>
      <c r="O108" s="188">
        <f>SUM(B108:N108)</f>
        <v>422216.92045173486</v>
      </c>
      <c r="P108" s="320"/>
      <c r="Q108" s="228"/>
      <c r="R108" s="228"/>
    </row>
    <row r="109" spans="1:18" s="70" customFormat="1" ht="14.25">
      <c r="A109" s="89" t="s">
        <v>203</v>
      </c>
      <c r="B109" s="133">
        <f>(12129.23*12)+(145550.76)*(6.79/100)</f>
        <v>155433.65660400002</v>
      </c>
      <c r="C109" s="133">
        <v>0</v>
      </c>
      <c r="D109" s="158">
        <v>0</v>
      </c>
      <c r="E109" s="133">
        <v>0</v>
      </c>
      <c r="F109" s="173">
        <f t="shared" si="32"/>
        <v>3600</v>
      </c>
      <c r="G109" s="158">
        <f>1614*12</f>
        <v>19368</v>
      </c>
      <c r="H109" s="158">
        <f t="shared" si="26"/>
        <v>28086.861748342802</v>
      </c>
      <c r="I109" s="133">
        <v>0</v>
      </c>
      <c r="J109" s="133">
        <f t="shared" si="27"/>
        <v>12952.804717000001</v>
      </c>
      <c r="K109" s="158">
        <f t="shared" si="28"/>
        <v>1554.3365660400002</v>
      </c>
      <c r="L109" s="158">
        <f t="shared" si="29"/>
        <v>1784.6399999999999</v>
      </c>
      <c r="M109" s="158">
        <f t="shared" si="30"/>
        <v>81.36</v>
      </c>
      <c r="N109" s="200">
        <v>0</v>
      </c>
      <c r="O109" s="188">
        <f t="shared" si="31"/>
        <v>222861.65963538282</v>
      </c>
      <c r="P109" s="160"/>
      <c r="Q109" s="228"/>
      <c r="R109" s="131"/>
    </row>
    <row r="110" spans="1:18" s="70" customFormat="1" ht="14.25">
      <c r="A110" s="92" t="s">
        <v>204</v>
      </c>
      <c r="B110" s="133">
        <f>(16582.95*12)+(198995.4)*(6.79/100)</f>
        <v>212507.18766000003</v>
      </c>
      <c r="C110" s="135">
        <v>0</v>
      </c>
      <c r="D110" s="174">
        <v>0</v>
      </c>
      <c r="E110" s="175">
        <v>0</v>
      </c>
      <c r="F110" s="175">
        <f t="shared" si="32"/>
        <v>3600</v>
      </c>
      <c r="G110" s="158">
        <f>2016*12</f>
        <v>24192</v>
      </c>
      <c r="H110" s="174">
        <f t="shared" si="26"/>
        <v>38400.048810162007</v>
      </c>
      <c r="I110" s="175">
        <v>0</v>
      </c>
      <c r="J110" s="135">
        <f t="shared" si="27"/>
        <v>17708.932305000002</v>
      </c>
      <c r="K110" s="174">
        <f t="shared" si="28"/>
        <v>2125.0718766000005</v>
      </c>
      <c r="L110" s="158">
        <f t="shared" si="29"/>
        <v>1784.6399999999999</v>
      </c>
      <c r="M110" s="158">
        <f t="shared" si="30"/>
        <v>81.36</v>
      </c>
      <c r="N110" s="201">
        <v>0</v>
      </c>
      <c r="O110" s="188">
        <f t="shared" si="31"/>
        <v>300399.24065176205</v>
      </c>
      <c r="P110" s="160"/>
      <c r="Q110" s="228"/>
      <c r="R110" s="131"/>
    </row>
    <row r="111" spans="1:18" s="70" customFormat="1" thickBot="1">
      <c r="A111" s="107" t="s">
        <v>205</v>
      </c>
      <c r="B111" s="133">
        <f>(19112.43*12)+(229349.16)*(6.79/100)</f>
        <v>244921.96796400001</v>
      </c>
      <c r="C111" s="133">
        <v>0</v>
      </c>
      <c r="D111" s="133">
        <v>0</v>
      </c>
      <c r="E111" s="133">
        <f>4679.77*12</f>
        <v>56157.240000000005</v>
      </c>
      <c r="F111" s="176">
        <f t="shared" si="32"/>
        <v>3600</v>
      </c>
      <c r="G111" s="158">
        <f>2418*12</f>
        <v>29016</v>
      </c>
      <c r="H111" s="133">
        <f>B111*18.07%</f>
        <v>44257.399611094799</v>
      </c>
      <c r="I111" s="133">
        <f>444*12</f>
        <v>5328</v>
      </c>
      <c r="J111" s="133">
        <f>B111/12</f>
        <v>20410.163997</v>
      </c>
      <c r="K111" s="133">
        <f>B111*1%</f>
        <v>2449.2196796400003</v>
      </c>
      <c r="L111" s="158">
        <f t="shared" si="29"/>
        <v>1784.6399999999999</v>
      </c>
      <c r="M111" s="158">
        <f t="shared" si="30"/>
        <v>81.36</v>
      </c>
      <c r="N111" s="161">
        <v>0</v>
      </c>
      <c r="O111" s="188">
        <f t="shared" si="31"/>
        <v>408005.99125173484</v>
      </c>
      <c r="P111" s="160"/>
      <c r="Q111" s="228"/>
      <c r="R111" s="131"/>
    </row>
    <row r="112" spans="1:18" s="1" customFormat="1" ht="15.75" thickBot="1">
      <c r="A112" s="93"/>
      <c r="B112" s="153">
        <f>SUM(B92:B111)</f>
        <v>4289141.4962639995</v>
      </c>
      <c r="C112" s="153">
        <f t="shared" ref="C112:N112" si="33">SUM(C92:C111)</f>
        <v>0</v>
      </c>
      <c r="D112" s="153">
        <f t="shared" si="33"/>
        <v>0</v>
      </c>
      <c r="E112" s="153">
        <f t="shared" si="33"/>
        <v>1050327.5762556002</v>
      </c>
      <c r="F112" s="153">
        <f t="shared" si="33"/>
        <v>66816</v>
      </c>
      <c r="G112" s="153">
        <f t="shared" si="33"/>
        <v>356342.98320000002</v>
      </c>
      <c r="H112" s="153">
        <f t="shared" si="33"/>
        <v>774876.42299733008</v>
      </c>
      <c r="I112" s="153">
        <f t="shared" si="33"/>
        <v>75240</v>
      </c>
      <c r="J112" s="153">
        <f t="shared" si="33"/>
        <v>357428.45802200009</v>
      </c>
      <c r="K112" s="153">
        <f t="shared" si="33"/>
        <v>42891.41496264001</v>
      </c>
      <c r="L112" s="153">
        <f>SUM(L92:L111)</f>
        <v>28554.239999999994</v>
      </c>
      <c r="M112" s="153">
        <f>SUM(M92:M111)</f>
        <v>1301.7599999999998</v>
      </c>
      <c r="N112" s="153">
        <f t="shared" si="33"/>
        <v>0</v>
      </c>
      <c r="O112" s="153">
        <f>SUM(B112:N112)</f>
        <v>7042920.3517015697</v>
      </c>
      <c r="P112" s="160"/>
      <c r="Q112" s="4"/>
      <c r="R112" s="6"/>
    </row>
    <row r="114" spans="1:18">
      <c r="A114" s="69" t="s">
        <v>167</v>
      </c>
      <c r="B114" s="264"/>
      <c r="C114" s="143"/>
      <c r="D114" s="143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228"/>
    </row>
    <row r="115" spans="1:18" ht="15.75" thickBot="1">
      <c r="A115" s="84"/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O115" s="264"/>
      <c r="P115" s="197"/>
    </row>
    <row r="116" spans="1:18" ht="15.75" thickBot="1">
      <c r="A116" s="71"/>
      <c r="B116" s="132" t="s">
        <v>114</v>
      </c>
      <c r="C116" s="132" t="s">
        <v>144</v>
      </c>
      <c r="D116" s="145" t="s">
        <v>145</v>
      </c>
      <c r="E116" s="132" t="s">
        <v>115</v>
      </c>
      <c r="F116" s="132" t="s">
        <v>116</v>
      </c>
      <c r="G116" s="132" t="s">
        <v>118</v>
      </c>
      <c r="H116" s="132" t="s">
        <v>168</v>
      </c>
      <c r="I116" s="132" t="s">
        <v>117</v>
      </c>
      <c r="J116" s="132" t="s">
        <v>120</v>
      </c>
      <c r="K116" s="132" t="s">
        <v>122</v>
      </c>
      <c r="L116" s="132" t="s">
        <v>147</v>
      </c>
      <c r="M116" s="132" t="s">
        <v>148</v>
      </c>
      <c r="N116" s="198" t="s">
        <v>172</v>
      </c>
      <c r="O116" s="222" t="s">
        <v>123</v>
      </c>
      <c r="P116" s="262"/>
    </row>
    <row r="117" spans="1:18" ht="15.75" thickBot="1">
      <c r="A117" s="103"/>
      <c r="B117" s="177" t="s">
        <v>124</v>
      </c>
      <c r="C117" s="178" t="s">
        <v>124</v>
      </c>
      <c r="D117" s="148" t="s">
        <v>149</v>
      </c>
      <c r="E117" s="178" t="s">
        <v>124</v>
      </c>
      <c r="F117" s="178"/>
      <c r="G117" s="177" t="s">
        <v>125</v>
      </c>
      <c r="H117" s="178" t="s">
        <v>126</v>
      </c>
      <c r="I117" s="178" t="s">
        <v>124</v>
      </c>
      <c r="J117" s="178"/>
      <c r="K117" s="178"/>
      <c r="L117" s="178"/>
      <c r="M117" s="177"/>
      <c r="N117" s="199" t="s">
        <v>170</v>
      </c>
      <c r="O117" s="223"/>
      <c r="P117" s="262"/>
    </row>
    <row r="118" spans="1:18">
      <c r="A118" s="123" t="s">
        <v>206</v>
      </c>
      <c r="B118" s="133">
        <f>(31636.12*12)+(379633.44)*(6.79/100)</f>
        <v>405410.55057600001</v>
      </c>
      <c r="C118" s="158">
        <v>0</v>
      </c>
      <c r="D118" s="158">
        <v>0</v>
      </c>
      <c r="E118" s="141">
        <f>9242.57*12</f>
        <v>110910.84</v>
      </c>
      <c r="F118" s="159">
        <v>0</v>
      </c>
      <c r="G118" s="133">
        <f>2831.4*12</f>
        <v>33976.800000000003</v>
      </c>
      <c r="H118" s="179">
        <f t="shared" ref="H118:H127" si="34">+B118*18.07%</f>
        <v>73257.686489083208</v>
      </c>
      <c r="I118" s="141">
        <f>448*12</f>
        <v>5376</v>
      </c>
      <c r="J118" s="141">
        <f t="shared" ref="J118:J127" si="35">+B118/12</f>
        <v>33784.212548000003</v>
      </c>
      <c r="K118" s="141">
        <f t="shared" ref="K118:K127" si="36">+B118*1%</f>
        <v>4054.1055057600001</v>
      </c>
      <c r="L118" s="200">
        <f>148.72*12</f>
        <v>1784.6399999999999</v>
      </c>
      <c r="M118" s="133">
        <f>6.78*12</f>
        <v>81.36</v>
      </c>
      <c r="N118" s="224">
        <v>0</v>
      </c>
      <c r="O118" s="312">
        <f>SUM(B118:N118)</f>
        <v>668636.19511884323</v>
      </c>
      <c r="P118" s="201"/>
    </row>
    <row r="119" spans="1:18">
      <c r="A119" s="82" t="s">
        <v>244</v>
      </c>
      <c r="B119" s="133">
        <f>(11022.05*12)+(132264.6)*(6.79/100)</f>
        <v>141245.36633999998</v>
      </c>
      <c r="C119" s="133">
        <v>0</v>
      </c>
      <c r="D119" s="133">
        <v>0</v>
      </c>
      <c r="E119" s="133">
        <v>0</v>
      </c>
      <c r="F119" s="180">
        <v>0</v>
      </c>
      <c r="G119" s="133">
        <f>2831.4*12</f>
        <v>33976.800000000003</v>
      </c>
      <c r="H119" s="181">
        <f t="shared" si="34"/>
        <v>25523.037697637996</v>
      </c>
      <c r="I119" s="133">
        <f>444*12</f>
        <v>5328</v>
      </c>
      <c r="J119" s="175">
        <f t="shared" si="35"/>
        <v>11770.447194999999</v>
      </c>
      <c r="K119" s="175">
        <f t="shared" si="36"/>
        <v>1412.4536633999999</v>
      </c>
      <c r="L119" s="161">
        <f>141.45*12</f>
        <v>1697.3999999999999</v>
      </c>
      <c r="M119" s="133">
        <f t="shared" ref="M119:M151" si="37">6.78*12</f>
        <v>81.36</v>
      </c>
      <c r="N119" s="224">
        <v>0</v>
      </c>
      <c r="O119" s="278">
        <f t="shared" ref="O119:O127" si="38">SUM(B119:N119)</f>
        <v>221034.86489603797</v>
      </c>
      <c r="P119" s="201"/>
    </row>
    <row r="120" spans="1:18">
      <c r="A120" s="82" t="s">
        <v>207</v>
      </c>
      <c r="B120" s="133">
        <f>(22736.42*12)+(272837.04)*(6.79/100)</f>
        <v>291362.67501599999</v>
      </c>
      <c r="C120" s="133">
        <v>0</v>
      </c>
      <c r="D120" s="133">
        <v>0</v>
      </c>
      <c r="E120" s="133">
        <f>4076.09*12</f>
        <v>48913.08</v>
      </c>
      <c r="F120" s="161">
        <f>478*12</f>
        <v>5736</v>
      </c>
      <c r="G120" s="133">
        <f>3092.55*12</f>
        <v>37110.600000000006</v>
      </c>
      <c r="H120" s="181">
        <f t="shared" si="34"/>
        <v>52649.235375391196</v>
      </c>
      <c r="I120" s="133">
        <f>444*12</f>
        <v>5328</v>
      </c>
      <c r="J120" s="175">
        <f t="shared" si="35"/>
        <v>24280.222917999999</v>
      </c>
      <c r="K120" s="175">
        <f t="shared" si="36"/>
        <v>2913.62675016</v>
      </c>
      <c r="L120" s="202">
        <f>148.72*12</f>
        <v>1784.6399999999999</v>
      </c>
      <c r="M120" s="133">
        <f t="shared" si="37"/>
        <v>81.36</v>
      </c>
      <c r="N120" s="224">
        <v>0</v>
      </c>
      <c r="O120" s="278">
        <f t="shared" si="38"/>
        <v>470159.44005955121</v>
      </c>
      <c r="P120" s="201"/>
    </row>
    <row r="121" spans="1:18">
      <c r="A121" s="82" t="s">
        <v>245</v>
      </c>
      <c r="B121" s="133">
        <f>(11022.05*12)+(132264.6)*(6.79/100)</f>
        <v>141245.36633999998</v>
      </c>
      <c r="C121" s="133">
        <v>0</v>
      </c>
      <c r="D121" s="133">
        <v>0</v>
      </c>
      <c r="E121" s="140">
        <v>0</v>
      </c>
      <c r="F121" s="180">
        <f>250*12</f>
        <v>3000</v>
      </c>
      <c r="G121" s="133">
        <f>2429.4*12</f>
        <v>29152.800000000003</v>
      </c>
      <c r="H121" s="181">
        <f t="shared" si="34"/>
        <v>25523.037697637996</v>
      </c>
      <c r="I121" s="140">
        <f>444*12</f>
        <v>5328</v>
      </c>
      <c r="J121" s="175">
        <f t="shared" si="35"/>
        <v>11770.447194999999</v>
      </c>
      <c r="K121" s="175">
        <f t="shared" si="36"/>
        <v>1412.4536633999999</v>
      </c>
      <c r="L121" s="203">
        <f>141.45*12</f>
        <v>1697.3999999999999</v>
      </c>
      <c r="M121" s="133">
        <f t="shared" si="37"/>
        <v>81.36</v>
      </c>
      <c r="N121" s="224">
        <v>0</v>
      </c>
      <c r="O121" s="292">
        <f t="shared" si="38"/>
        <v>219210.86489603797</v>
      </c>
      <c r="P121" s="201"/>
    </row>
    <row r="122" spans="1:18" s="2" customFormat="1">
      <c r="A122" s="82" t="s">
        <v>262</v>
      </c>
      <c r="B122" s="133">
        <f>(11022.05*12)+(132264.6)*(6.79/100)</f>
        <v>141245.36633999998</v>
      </c>
      <c r="C122" s="176">
        <v>0</v>
      </c>
      <c r="D122" s="176">
        <v>0</v>
      </c>
      <c r="E122" s="176">
        <v>0</v>
      </c>
      <c r="F122" s="295">
        <f>300*12</f>
        <v>3600</v>
      </c>
      <c r="G122" s="133">
        <f>2429.4*12</f>
        <v>29152.800000000003</v>
      </c>
      <c r="H122" s="294">
        <f t="shared" si="34"/>
        <v>25523.037697637996</v>
      </c>
      <c r="I122" s="296">
        <f>444*12</f>
        <v>5328</v>
      </c>
      <c r="J122" s="182">
        <f t="shared" si="35"/>
        <v>11770.447194999999</v>
      </c>
      <c r="K122" s="182">
        <f t="shared" si="36"/>
        <v>1412.4536633999999</v>
      </c>
      <c r="L122" s="203">
        <f>148.72*12</f>
        <v>1784.6399999999999</v>
      </c>
      <c r="M122" s="133">
        <f t="shared" si="37"/>
        <v>81.36</v>
      </c>
      <c r="N122" s="225">
        <v>0</v>
      </c>
      <c r="O122" s="292">
        <f t="shared" si="38"/>
        <v>219898.10489603798</v>
      </c>
      <c r="P122" s="312"/>
      <c r="Q122" s="261"/>
      <c r="R122" s="261"/>
    </row>
    <row r="123" spans="1:18">
      <c r="A123" s="82" t="s">
        <v>208</v>
      </c>
      <c r="B123" s="133">
        <f>(11881.11*12)+(142573.32)*(6.79/100)</f>
        <v>152254.04842800001</v>
      </c>
      <c r="C123" s="133">
        <v>0</v>
      </c>
      <c r="D123" s="133">
        <v>0</v>
      </c>
      <c r="E123" s="173">
        <v>0</v>
      </c>
      <c r="F123" s="161">
        <f>364.31*12</f>
        <v>4371.72</v>
      </c>
      <c r="G123" s="133">
        <f>(1859.4*12)+(22312.8)*(3.45%)</f>
        <v>23082.591600000003</v>
      </c>
      <c r="H123" s="181">
        <f t="shared" si="34"/>
        <v>27512.3065509396</v>
      </c>
      <c r="I123" s="173">
        <v>0</v>
      </c>
      <c r="J123" s="175">
        <f t="shared" si="35"/>
        <v>12687.837369000001</v>
      </c>
      <c r="K123" s="175">
        <f t="shared" si="36"/>
        <v>1522.5404842800001</v>
      </c>
      <c r="L123" s="203">
        <f>148.72*12</f>
        <v>1784.6399999999999</v>
      </c>
      <c r="M123" s="133">
        <f t="shared" si="37"/>
        <v>81.36</v>
      </c>
      <c r="N123" s="224">
        <v>0</v>
      </c>
      <c r="O123" s="278">
        <f t="shared" si="38"/>
        <v>223297.04443221961</v>
      </c>
      <c r="P123" s="201"/>
    </row>
    <row r="124" spans="1:18">
      <c r="A124" s="82" t="s">
        <v>209</v>
      </c>
      <c r="B124" s="133">
        <f>(11881.11*12)+(142573.32)*(6.79/100)</f>
        <v>152254.04842800001</v>
      </c>
      <c r="C124" s="133">
        <v>0</v>
      </c>
      <c r="D124" s="133">
        <v>0</v>
      </c>
      <c r="E124" s="173">
        <v>0</v>
      </c>
      <c r="F124" s="180">
        <v>0</v>
      </c>
      <c r="G124" s="133">
        <f>1614*12</f>
        <v>19368</v>
      </c>
      <c r="H124" s="181">
        <f t="shared" si="34"/>
        <v>27512.3065509396</v>
      </c>
      <c r="I124" s="173">
        <v>0</v>
      </c>
      <c r="J124" s="175">
        <f t="shared" si="35"/>
        <v>12687.837369000001</v>
      </c>
      <c r="K124" s="175">
        <f t="shared" si="36"/>
        <v>1522.5404842800001</v>
      </c>
      <c r="L124" s="161">
        <f>148.72*12</f>
        <v>1784.6399999999999</v>
      </c>
      <c r="M124" s="133">
        <f t="shared" si="37"/>
        <v>81.36</v>
      </c>
      <c r="N124" s="224">
        <v>0</v>
      </c>
      <c r="O124" s="278">
        <f t="shared" si="38"/>
        <v>215210.7328322196</v>
      </c>
      <c r="P124" s="201"/>
    </row>
    <row r="125" spans="1:18">
      <c r="A125" s="124" t="s">
        <v>324</v>
      </c>
      <c r="B125" s="133">
        <f>(18185.93*12)+(218231.16)*(6.79/100)</f>
        <v>233049.05576399999</v>
      </c>
      <c r="C125" s="133">
        <v>0</v>
      </c>
      <c r="D125" s="133">
        <v>0</v>
      </c>
      <c r="E125" s="173">
        <v>0</v>
      </c>
      <c r="F125" s="161">
        <f>452.74*12</f>
        <v>5432.88</v>
      </c>
      <c r="G125" s="133">
        <f>2831.4*12</f>
        <v>33976.800000000003</v>
      </c>
      <c r="H125" s="181">
        <f t="shared" si="34"/>
        <v>42111.964376554795</v>
      </c>
      <c r="I125" s="133">
        <f>400*12</f>
        <v>4800</v>
      </c>
      <c r="J125" s="175">
        <f t="shared" si="35"/>
        <v>19420.754646999998</v>
      </c>
      <c r="K125" s="175">
        <f t="shared" si="36"/>
        <v>2330.4905576400001</v>
      </c>
      <c r="L125" s="203">
        <f>148.72*12</f>
        <v>1784.6399999999999</v>
      </c>
      <c r="M125" s="133">
        <f t="shared" si="37"/>
        <v>81.36</v>
      </c>
      <c r="N125" s="224">
        <v>0</v>
      </c>
      <c r="O125" s="278">
        <f t="shared" si="38"/>
        <v>342987.94534519478</v>
      </c>
      <c r="P125" s="201"/>
    </row>
    <row r="126" spans="1:18">
      <c r="A126" s="82" t="s">
        <v>246</v>
      </c>
      <c r="B126" s="133">
        <f>(7210.3*12)+(86523.6)*(6.79/100)</f>
        <v>92398.552439999999</v>
      </c>
      <c r="C126" s="133">
        <v>0</v>
      </c>
      <c r="D126" s="133">
        <v>0</v>
      </c>
      <c r="E126" s="173">
        <v>0</v>
      </c>
      <c r="F126" s="161">
        <f>477.96*12</f>
        <v>5735.5199999999995</v>
      </c>
      <c r="G126" s="133">
        <f>1144.8*12</f>
        <v>13737.599999999999</v>
      </c>
      <c r="H126" s="181">
        <f t="shared" si="34"/>
        <v>16696.418425907999</v>
      </c>
      <c r="I126" s="173">
        <v>0</v>
      </c>
      <c r="J126" s="175">
        <f t="shared" si="35"/>
        <v>7699.8793699999997</v>
      </c>
      <c r="K126" s="175">
        <f t="shared" si="36"/>
        <v>923.98552440000003</v>
      </c>
      <c r="L126" s="203">
        <f>88.33*12</f>
        <v>1059.96</v>
      </c>
      <c r="M126" s="133">
        <f t="shared" si="37"/>
        <v>81.36</v>
      </c>
      <c r="N126" s="224">
        <v>0</v>
      </c>
      <c r="O126" s="278">
        <f t="shared" si="38"/>
        <v>138333.27576030797</v>
      </c>
      <c r="P126" s="201"/>
    </row>
    <row r="127" spans="1:18" s="2" customFormat="1">
      <c r="A127" s="82" t="s">
        <v>199</v>
      </c>
      <c r="B127" s="133">
        <f>(16068.57*12)+(192822.84)*(6.79/100)</f>
        <v>205915.510836</v>
      </c>
      <c r="C127" s="176">
        <v>0</v>
      </c>
      <c r="D127" s="176">
        <v>0</v>
      </c>
      <c r="E127" s="176">
        <v>0</v>
      </c>
      <c r="F127" s="295">
        <f>300*12</f>
        <v>3600</v>
      </c>
      <c r="G127" s="176">
        <f>1212*12</f>
        <v>14544</v>
      </c>
      <c r="H127" s="294">
        <f t="shared" si="34"/>
        <v>37208.932808065198</v>
      </c>
      <c r="I127" s="296">
        <f>400*12</f>
        <v>4800</v>
      </c>
      <c r="J127" s="182">
        <f t="shared" si="35"/>
        <v>17159.625903</v>
      </c>
      <c r="K127" s="182">
        <f t="shared" si="36"/>
        <v>2059.1551083600002</v>
      </c>
      <c r="L127" s="204">
        <f t="shared" ref="L127:L151" si="39">1784.64</f>
        <v>1784.64</v>
      </c>
      <c r="M127" s="133">
        <f t="shared" si="37"/>
        <v>81.36</v>
      </c>
      <c r="N127" s="225">
        <v>0</v>
      </c>
      <c r="O127" s="292">
        <f t="shared" si="38"/>
        <v>287153.22465542518</v>
      </c>
      <c r="P127" s="312"/>
      <c r="Q127" s="261"/>
      <c r="R127" s="261"/>
    </row>
    <row r="128" spans="1:18" s="2" customFormat="1">
      <c r="A128" s="82" t="s">
        <v>247</v>
      </c>
      <c r="B128" s="133">
        <f>(22736.42*12)+(272837.04)*(6.79/100)</f>
        <v>291362.67501599999</v>
      </c>
      <c r="C128" s="176">
        <v>0</v>
      </c>
      <c r="D128" s="176">
        <v>0</v>
      </c>
      <c r="E128" s="282">
        <f>6561.25*12</f>
        <v>78735</v>
      </c>
      <c r="F128" s="295">
        <v>0</v>
      </c>
      <c r="G128" s="176">
        <v>0</v>
      </c>
      <c r="H128" s="294">
        <f t="shared" ref="H128:H141" si="40">+B128*18.07%</f>
        <v>52649.235375391196</v>
      </c>
      <c r="I128" s="176">
        <f>444*12</f>
        <v>5328</v>
      </c>
      <c r="J128" s="182">
        <f t="shared" ref="J128:J141" si="41">+B128/12</f>
        <v>24280.222917999999</v>
      </c>
      <c r="K128" s="182">
        <f t="shared" ref="K128:K141" si="42">+B128*1%</f>
        <v>2913.62675016</v>
      </c>
      <c r="L128" s="204">
        <f t="shared" si="39"/>
        <v>1784.64</v>
      </c>
      <c r="M128" s="133">
        <f t="shared" si="37"/>
        <v>81.36</v>
      </c>
      <c r="N128" s="225">
        <v>0</v>
      </c>
      <c r="O128" s="278">
        <f t="shared" ref="O128:O141" si="43">SUM(B128:N128)</f>
        <v>457134.76005955122</v>
      </c>
      <c r="P128" s="312"/>
      <c r="Q128" s="261"/>
      <c r="R128" s="261"/>
    </row>
    <row r="129" spans="1:18" s="2" customFormat="1">
      <c r="A129" s="82" t="s">
        <v>248</v>
      </c>
      <c r="B129" s="133">
        <f>(7210.3*12)+(86523.6)*(6.79/100)</f>
        <v>92398.552439999999</v>
      </c>
      <c r="C129" s="176">
        <v>0</v>
      </c>
      <c r="D129" s="176">
        <v>0</v>
      </c>
      <c r="E129" s="282">
        <v>0</v>
      </c>
      <c r="F129" s="295">
        <v>0</v>
      </c>
      <c r="G129" s="176">
        <v>0</v>
      </c>
      <c r="H129" s="294">
        <f t="shared" si="40"/>
        <v>16696.418425907999</v>
      </c>
      <c r="I129" s="282">
        <v>0</v>
      </c>
      <c r="J129" s="182">
        <f t="shared" si="41"/>
        <v>7699.8793699999997</v>
      </c>
      <c r="K129" s="182">
        <f t="shared" si="42"/>
        <v>923.98552440000003</v>
      </c>
      <c r="L129" s="204">
        <f t="shared" si="39"/>
        <v>1784.64</v>
      </c>
      <c r="M129" s="133">
        <f t="shared" si="37"/>
        <v>81.36</v>
      </c>
      <c r="N129" s="225">
        <v>0</v>
      </c>
      <c r="O129" s="278">
        <f t="shared" si="43"/>
        <v>119584.83576030799</v>
      </c>
      <c r="P129" s="312"/>
      <c r="Q129" s="261"/>
      <c r="R129" s="261"/>
    </row>
    <row r="130" spans="1:18" s="2" customFormat="1">
      <c r="A130" s="120" t="s">
        <v>211</v>
      </c>
      <c r="B130" s="133">
        <f>(22736.42*12)+(272837.04)*(6.79/100)</f>
        <v>291362.67501599999</v>
      </c>
      <c r="C130" s="176">
        <v>0</v>
      </c>
      <c r="D130" s="176">
        <v>0</v>
      </c>
      <c r="E130" s="182">
        <f>6561.25*12</f>
        <v>78735</v>
      </c>
      <c r="F130" s="176">
        <f>478*12</f>
        <v>5736</v>
      </c>
      <c r="G130" s="176">
        <f>3092.55*12</f>
        <v>37110.600000000006</v>
      </c>
      <c r="H130" s="182">
        <f t="shared" si="40"/>
        <v>52649.235375391196</v>
      </c>
      <c r="I130" s="176">
        <f>444*12</f>
        <v>5328</v>
      </c>
      <c r="J130" s="182">
        <f t="shared" si="41"/>
        <v>24280.222917999999</v>
      </c>
      <c r="K130" s="182">
        <f t="shared" si="42"/>
        <v>2913.62675016</v>
      </c>
      <c r="L130" s="204">
        <f t="shared" si="39"/>
        <v>1784.64</v>
      </c>
      <c r="M130" s="133">
        <f t="shared" si="37"/>
        <v>81.36</v>
      </c>
      <c r="N130" s="225">
        <v>0</v>
      </c>
      <c r="O130" s="278">
        <f>SUM(B130:N130)</f>
        <v>499981.36005955125</v>
      </c>
      <c r="P130" s="312"/>
      <c r="Q130" s="261"/>
      <c r="R130" s="261"/>
    </row>
    <row r="131" spans="1:18" s="2" customFormat="1">
      <c r="A131" s="120" t="s">
        <v>325</v>
      </c>
      <c r="B131" s="133">
        <f>(22736.42*12)+(272837.04)*(6.79/100)</f>
        <v>291362.67501599999</v>
      </c>
      <c r="C131" s="176"/>
      <c r="D131" s="176"/>
      <c r="E131" s="176"/>
      <c r="F131" s="182">
        <f>300*12</f>
        <v>3600</v>
      </c>
      <c r="G131" s="182">
        <f>2418*12</f>
        <v>29016</v>
      </c>
      <c r="H131" s="182">
        <f t="shared" si="40"/>
        <v>52649.235375391196</v>
      </c>
      <c r="I131" s="182">
        <f>444*12</f>
        <v>5328</v>
      </c>
      <c r="J131" s="182">
        <f t="shared" si="41"/>
        <v>24280.222917999999</v>
      </c>
      <c r="K131" s="182">
        <f t="shared" si="42"/>
        <v>2913.62675016</v>
      </c>
      <c r="L131" s="204">
        <f t="shared" si="39"/>
        <v>1784.64</v>
      </c>
      <c r="M131" s="133">
        <f t="shared" si="37"/>
        <v>81.36</v>
      </c>
      <c r="N131" s="225"/>
      <c r="O131" s="278">
        <f>SUM(B131:N131)</f>
        <v>411015.76005955122</v>
      </c>
      <c r="P131" s="312"/>
      <c r="Q131" s="261"/>
      <c r="R131" s="261"/>
    </row>
    <row r="132" spans="1:18" s="2" customFormat="1">
      <c r="A132" s="121" t="s">
        <v>212</v>
      </c>
      <c r="B132" s="133">
        <f>(14566.11*12)+(174793.32)*(6.79/100)</f>
        <v>186661.78642800002</v>
      </c>
      <c r="C132" s="176">
        <v>0</v>
      </c>
      <c r="D132" s="176">
        <v>0</v>
      </c>
      <c r="E132" s="176">
        <v>0</v>
      </c>
      <c r="F132" s="182">
        <f>300*12</f>
        <v>3600</v>
      </c>
      <c r="G132" s="176">
        <f>1212*12</f>
        <v>14544</v>
      </c>
      <c r="H132" s="182">
        <f t="shared" si="40"/>
        <v>33729.784807539603</v>
      </c>
      <c r="I132" s="176">
        <v>0</v>
      </c>
      <c r="J132" s="182">
        <f t="shared" si="41"/>
        <v>15555.148869000002</v>
      </c>
      <c r="K132" s="182">
        <f t="shared" si="42"/>
        <v>1866.6178642800003</v>
      </c>
      <c r="L132" s="204">
        <f t="shared" si="39"/>
        <v>1784.64</v>
      </c>
      <c r="M132" s="133">
        <f t="shared" si="37"/>
        <v>81.36</v>
      </c>
      <c r="N132" s="225">
        <v>0</v>
      </c>
      <c r="O132" s="278">
        <f t="shared" si="43"/>
        <v>257823.33796881963</v>
      </c>
      <c r="P132" s="312"/>
      <c r="Q132" s="261"/>
      <c r="R132" s="261"/>
    </row>
    <row r="133" spans="1:18" s="2" customFormat="1">
      <c r="A133" s="121" t="s">
        <v>249</v>
      </c>
      <c r="B133" s="133">
        <f>(7210.3*12)+(86523.6)*(6.79/100)</f>
        <v>92398.552439999999</v>
      </c>
      <c r="C133" s="176">
        <v>0</v>
      </c>
      <c r="D133" s="176">
        <v>0</v>
      </c>
      <c r="E133" s="176">
        <v>0</v>
      </c>
      <c r="F133" s="182">
        <v>0</v>
      </c>
      <c r="G133" s="176">
        <f>1331.4*12</f>
        <v>15976.800000000001</v>
      </c>
      <c r="H133" s="182">
        <f t="shared" si="40"/>
        <v>16696.418425907999</v>
      </c>
      <c r="I133" s="176">
        <v>0</v>
      </c>
      <c r="J133" s="182">
        <f t="shared" si="41"/>
        <v>7699.8793699999997</v>
      </c>
      <c r="K133" s="182">
        <f t="shared" si="42"/>
        <v>923.98552440000003</v>
      </c>
      <c r="L133" s="204">
        <f>85.42*12</f>
        <v>1025.04</v>
      </c>
      <c r="M133" s="133">
        <f t="shared" si="37"/>
        <v>81.36</v>
      </c>
      <c r="N133" s="225">
        <v>0</v>
      </c>
      <c r="O133" s="278">
        <f t="shared" si="43"/>
        <v>134802.035760308</v>
      </c>
      <c r="P133" s="312"/>
      <c r="Q133" s="261"/>
      <c r="R133" s="261"/>
    </row>
    <row r="134" spans="1:18" s="2" customFormat="1">
      <c r="A134" s="122" t="s">
        <v>250</v>
      </c>
      <c r="B134" s="133">
        <f>(22736.42*12)+(272837.04)*(6.79/100)</f>
        <v>291362.67501599999</v>
      </c>
      <c r="C134" s="176">
        <v>0</v>
      </c>
      <c r="D134" s="176">
        <v>0</v>
      </c>
      <c r="E134" s="188">
        <f>6561.25*12</f>
        <v>78735</v>
      </c>
      <c r="F134" s="182">
        <f>300*12</f>
        <v>3600</v>
      </c>
      <c r="G134" s="176">
        <f>2429.4*12</f>
        <v>29152.800000000003</v>
      </c>
      <c r="H134" s="182">
        <f t="shared" si="40"/>
        <v>52649.235375391196</v>
      </c>
      <c r="I134" s="176">
        <f>444*12</f>
        <v>5328</v>
      </c>
      <c r="J134" s="182">
        <f t="shared" si="41"/>
        <v>24280.222917999999</v>
      </c>
      <c r="K134" s="182">
        <f t="shared" si="42"/>
        <v>2913.62675016</v>
      </c>
      <c r="L134" s="204">
        <f t="shared" si="39"/>
        <v>1784.64</v>
      </c>
      <c r="M134" s="133">
        <f t="shared" si="37"/>
        <v>81.36</v>
      </c>
      <c r="N134" s="225">
        <v>0</v>
      </c>
      <c r="O134" s="292">
        <f t="shared" si="43"/>
        <v>489887.56005955121</v>
      </c>
      <c r="P134" s="312"/>
      <c r="Q134" s="261"/>
      <c r="R134" s="261"/>
    </row>
    <row r="135" spans="1:18" s="2" customFormat="1">
      <c r="A135" s="121" t="s">
        <v>213</v>
      </c>
      <c r="B135" s="133">
        <f>(22736.42*12)+(272837.04)*(6.79/100)</f>
        <v>291362.67501599999</v>
      </c>
      <c r="C135" s="176">
        <v>0</v>
      </c>
      <c r="D135" s="176">
        <v>0</v>
      </c>
      <c r="E135" s="176">
        <f>4679.77*12</f>
        <v>56157.240000000005</v>
      </c>
      <c r="F135" s="182">
        <f>300*12</f>
        <v>3600</v>
      </c>
      <c r="G135" s="176">
        <f>2842.8*12</f>
        <v>34113.600000000006</v>
      </c>
      <c r="H135" s="182">
        <f t="shared" si="40"/>
        <v>52649.235375391196</v>
      </c>
      <c r="I135" s="176">
        <f>444*12</f>
        <v>5328</v>
      </c>
      <c r="J135" s="182">
        <f t="shared" si="41"/>
        <v>24280.222917999999</v>
      </c>
      <c r="K135" s="182">
        <f t="shared" si="42"/>
        <v>2913.62675016</v>
      </c>
      <c r="L135" s="204">
        <f t="shared" si="39"/>
        <v>1784.64</v>
      </c>
      <c r="M135" s="133">
        <f t="shared" si="37"/>
        <v>81.36</v>
      </c>
      <c r="N135" s="225">
        <v>0</v>
      </c>
      <c r="O135" s="278">
        <f t="shared" si="43"/>
        <v>472270.60005955125</v>
      </c>
      <c r="P135" s="312"/>
      <c r="Q135" s="261"/>
      <c r="R135" s="261"/>
    </row>
    <row r="136" spans="1:18" s="2" customFormat="1">
      <c r="A136" s="125" t="s">
        <v>214</v>
      </c>
      <c r="B136" s="133">
        <f>(22736.42*12)+(272837.04)*(6.79/100)</f>
        <v>291362.67501599999</v>
      </c>
      <c r="C136" s="176">
        <v>0</v>
      </c>
      <c r="D136" s="176">
        <v>0</v>
      </c>
      <c r="E136" s="176">
        <f>4679.77*12</f>
        <v>56157.240000000005</v>
      </c>
      <c r="F136" s="182">
        <f>300*12</f>
        <v>3600</v>
      </c>
      <c r="G136" s="176">
        <f>1614*12</f>
        <v>19368</v>
      </c>
      <c r="H136" s="182">
        <f t="shared" si="40"/>
        <v>52649.235375391196</v>
      </c>
      <c r="I136" s="176">
        <f>444*12</f>
        <v>5328</v>
      </c>
      <c r="J136" s="182">
        <f t="shared" si="41"/>
        <v>24280.222917999999</v>
      </c>
      <c r="K136" s="182">
        <f t="shared" si="42"/>
        <v>2913.62675016</v>
      </c>
      <c r="L136" s="204">
        <f t="shared" si="39"/>
        <v>1784.64</v>
      </c>
      <c r="M136" s="133">
        <f t="shared" si="37"/>
        <v>81.36</v>
      </c>
      <c r="N136" s="225">
        <v>0</v>
      </c>
      <c r="O136" s="278">
        <f t="shared" si="43"/>
        <v>457525.00005955121</v>
      </c>
      <c r="P136" s="312"/>
      <c r="Q136" s="261"/>
      <c r="R136" s="261"/>
    </row>
    <row r="137" spans="1:18" s="2" customFormat="1">
      <c r="A137" s="121" t="s">
        <v>251</v>
      </c>
      <c r="B137" s="133">
        <f>(7210.3*12)+(86523.6)*(6.79/100)</f>
        <v>92398.552439999999</v>
      </c>
      <c r="C137" s="176">
        <v>0</v>
      </c>
      <c r="D137" s="176">
        <v>0</v>
      </c>
      <c r="E137" s="176">
        <v>0</v>
      </c>
      <c r="F137" s="182">
        <v>0</v>
      </c>
      <c r="G137" s="176">
        <f>697.8*12</f>
        <v>8373.5999999999985</v>
      </c>
      <c r="H137" s="182">
        <f t="shared" si="40"/>
        <v>16696.418425907999</v>
      </c>
      <c r="I137" s="176">
        <v>0</v>
      </c>
      <c r="J137" s="182">
        <f t="shared" si="41"/>
        <v>7699.8793699999997</v>
      </c>
      <c r="K137" s="182">
        <f t="shared" si="42"/>
        <v>923.98552440000003</v>
      </c>
      <c r="L137" s="204">
        <f t="shared" si="39"/>
        <v>1784.64</v>
      </c>
      <c r="M137" s="133">
        <f t="shared" si="37"/>
        <v>81.36</v>
      </c>
      <c r="N137" s="225">
        <v>0</v>
      </c>
      <c r="O137" s="278">
        <f t="shared" si="43"/>
        <v>127958.435760308</v>
      </c>
      <c r="P137" s="312"/>
      <c r="Q137" s="261"/>
      <c r="R137" s="261"/>
    </row>
    <row r="138" spans="1:18" s="2" customFormat="1">
      <c r="A138" s="121" t="s">
        <v>215</v>
      </c>
      <c r="B138" s="133">
        <f>(31636.12*12)+(379633.44)*(6.79/100)</f>
        <v>405410.55057600001</v>
      </c>
      <c r="C138" s="176">
        <v>0</v>
      </c>
      <c r="D138" s="176">
        <v>0</v>
      </c>
      <c r="E138" s="176">
        <f>9242.57*12</f>
        <v>110910.84</v>
      </c>
      <c r="F138" s="182">
        <f>300*12</f>
        <v>3600</v>
      </c>
      <c r="G138" s="176">
        <f>(1859.4*12)+(22312.8)*(3.45%)</f>
        <v>23082.591600000003</v>
      </c>
      <c r="H138" s="182">
        <f t="shared" si="40"/>
        <v>73257.686489083208</v>
      </c>
      <c r="I138" s="176">
        <f>444*12</f>
        <v>5328</v>
      </c>
      <c r="J138" s="182">
        <f t="shared" si="41"/>
        <v>33784.212548000003</v>
      </c>
      <c r="K138" s="182">
        <f t="shared" si="42"/>
        <v>4054.1055057600001</v>
      </c>
      <c r="L138" s="204">
        <f t="shared" si="39"/>
        <v>1784.64</v>
      </c>
      <c r="M138" s="133">
        <f t="shared" si="37"/>
        <v>81.36</v>
      </c>
      <c r="N138" s="225">
        <v>0</v>
      </c>
      <c r="O138" s="278">
        <f t="shared" si="43"/>
        <v>661293.98671884323</v>
      </c>
      <c r="P138" s="312"/>
      <c r="Q138" s="261"/>
      <c r="R138" s="261"/>
    </row>
    <row r="139" spans="1:18" s="2" customFormat="1">
      <c r="A139" s="121" t="s">
        <v>231</v>
      </c>
      <c r="B139" s="133">
        <f>(22736.42*12)+(272837.04)*(6.79/100)</f>
        <v>291362.67501599999</v>
      </c>
      <c r="C139" s="176">
        <v>0</v>
      </c>
      <c r="D139" s="176">
        <v>0</v>
      </c>
      <c r="E139" s="176">
        <f>6561.25*12</f>
        <v>78735</v>
      </c>
      <c r="F139" s="176">
        <f>478*12</f>
        <v>5736</v>
      </c>
      <c r="G139" s="176">
        <f>2016*12</f>
        <v>24192</v>
      </c>
      <c r="H139" s="182">
        <f t="shared" si="40"/>
        <v>52649.235375391196</v>
      </c>
      <c r="I139" s="176">
        <f>444*12</f>
        <v>5328</v>
      </c>
      <c r="J139" s="182">
        <f t="shared" si="41"/>
        <v>24280.222917999999</v>
      </c>
      <c r="K139" s="182">
        <f t="shared" si="42"/>
        <v>2913.62675016</v>
      </c>
      <c r="L139" s="204">
        <f t="shared" si="39"/>
        <v>1784.64</v>
      </c>
      <c r="M139" s="133">
        <f t="shared" si="37"/>
        <v>81.36</v>
      </c>
      <c r="N139" s="225">
        <v>0</v>
      </c>
      <c r="O139" s="278">
        <f t="shared" si="43"/>
        <v>487062.76005955122</v>
      </c>
      <c r="P139" s="312"/>
      <c r="Q139" s="261"/>
      <c r="R139" s="261"/>
    </row>
    <row r="140" spans="1:18" s="2" customFormat="1">
      <c r="A140" s="121" t="s">
        <v>216</v>
      </c>
      <c r="B140" s="133">
        <f>(22736.42*12)+(272837.04)*(6.79/100)</f>
        <v>291362.67501599999</v>
      </c>
      <c r="C140" s="176">
        <v>0</v>
      </c>
      <c r="D140" s="176">
        <v>0</v>
      </c>
      <c r="E140" s="176">
        <f>6561.25*12</f>
        <v>78735</v>
      </c>
      <c r="F140" s="182">
        <f>300*12</f>
        <v>3600</v>
      </c>
      <c r="G140" s="176">
        <f>1614*12</f>
        <v>19368</v>
      </c>
      <c r="H140" s="182">
        <f t="shared" si="40"/>
        <v>52649.235375391196</v>
      </c>
      <c r="I140" s="176">
        <f>444*12</f>
        <v>5328</v>
      </c>
      <c r="J140" s="182">
        <f t="shared" si="41"/>
        <v>24280.222917999999</v>
      </c>
      <c r="K140" s="182">
        <f t="shared" si="42"/>
        <v>2913.62675016</v>
      </c>
      <c r="L140" s="204">
        <f t="shared" si="39"/>
        <v>1784.64</v>
      </c>
      <c r="M140" s="133">
        <f t="shared" si="37"/>
        <v>81.36</v>
      </c>
      <c r="N140" s="225">
        <v>0</v>
      </c>
      <c r="O140" s="278">
        <f t="shared" si="43"/>
        <v>480102.76005955122</v>
      </c>
      <c r="P140" s="312"/>
      <c r="Q140" s="261"/>
      <c r="R140" s="261"/>
    </row>
    <row r="141" spans="1:18" s="2" customFormat="1">
      <c r="A141" s="121" t="s">
        <v>234</v>
      </c>
      <c r="B141" s="158">
        <f>(17220.58*12)+(207680.16)*(6.79/100)</f>
        <v>220748.44286400001</v>
      </c>
      <c r="C141" s="176">
        <v>0</v>
      </c>
      <c r="D141" s="176">
        <v>0</v>
      </c>
      <c r="E141" s="176">
        <v>0</v>
      </c>
      <c r="F141" s="176">
        <v>300</v>
      </c>
      <c r="G141" s="176">
        <f>(1870.2*12)+(22442.4)*(3.45%)</f>
        <v>23216.662800000002</v>
      </c>
      <c r="H141" s="182">
        <f t="shared" si="40"/>
        <v>39889.243625524803</v>
      </c>
      <c r="I141" s="176">
        <v>0</v>
      </c>
      <c r="J141" s="182">
        <f t="shared" si="41"/>
        <v>18395.703572000002</v>
      </c>
      <c r="K141" s="182">
        <f t="shared" si="42"/>
        <v>2207.4844286400003</v>
      </c>
      <c r="L141" s="204">
        <f t="shared" si="39"/>
        <v>1784.64</v>
      </c>
      <c r="M141" s="133">
        <f t="shared" si="37"/>
        <v>81.36</v>
      </c>
      <c r="N141" s="225">
        <v>0</v>
      </c>
      <c r="O141" s="278">
        <f t="shared" si="43"/>
        <v>306623.53729016485</v>
      </c>
      <c r="P141" s="312"/>
      <c r="Q141" s="261"/>
      <c r="R141" s="261"/>
    </row>
    <row r="142" spans="1:18" s="2" customFormat="1">
      <c r="A142" s="121" t="s">
        <v>233</v>
      </c>
      <c r="B142" s="158">
        <f>(17220.58*12)+(207680.16)*(6.79/100)</f>
        <v>220748.44286400001</v>
      </c>
      <c r="C142" s="176">
        <v>0</v>
      </c>
      <c r="D142" s="176">
        <v>0</v>
      </c>
      <c r="E142" s="176">
        <v>0</v>
      </c>
      <c r="F142" s="278">
        <f>300*12</f>
        <v>3600</v>
      </c>
      <c r="G142" s="176">
        <f>1212*12</f>
        <v>14544</v>
      </c>
      <c r="H142" s="294">
        <f t="shared" ref="H142:H151" si="44">+B142*18.07%</f>
        <v>39889.243625524803</v>
      </c>
      <c r="I142" s="176">
        <f>444*12</f>
        <v>5328</v>
      </c>
      <c r="J142" s="182">
        <f t="shared" ref="J142:J151" si="45">+B142/12</f>
        <v>18395.703572000002</v>
      </c>
      <c r="K142" s="182">
        <f t="shared" ref="K142:K151" si="46">+B142*1%</f>
        <v>2207.4844286400003</v>
      </c>
      <c r="L142" s="204">
        <f t="shared" si="39"/>
        <v>1784.64</v>
      </c>
      <c r="M142" s="133">
        <f t="shared" si="37"/>
        <v>81.36</v>
      </c>
      <c r="N142" s="225">
        <v>0</v>
      </c>
      <c r="O142" s="278">
        <f>SUM(B142:N142)</f>
        <v>306578.8744901648</v>
      </c>
      <c r="P142" s="312"/>
      <c r="Q142" s="261"/>
      <c r="R142" s="261"/>
    </row>
    <row r="143" spans="1:18" s="2" customFormat="1">
      <c r="A143" s="121" t="s">
        <v>223</v>
      </c>
      <c r="B143" s="133">
        <f>(31636.12*12)+(379633.44)*(6.79/100)</f>
        <v>405410.55057600001</v>
      </c>
      <c r="C143" s="176">
        <v>0</v>
      </c>
      <c r="D143" s="176">
        <v>0</v>
      </c>
      <c r="E143" s="182">
        <f>9242.57*12</f>
        <v>110910.84</v>
      </c>
      <c r="F143" s="182">
        <f>300*12</f>
        <v>3600</v>
      </c>
      <c r="G143" s="176">
        <f>2831.4*12</f>
        <v>33976.800000000003</v>
      </c>
      <c r="H143" s="182">
        <f t="shared" si="44"/>
        <v>73257.686489083208</v>
      </c>
      <c r="I143" s="182">
        <f>448*12</f>
        <v>5376</v>
      </c>
      <c r="J143" s="182">
        <f t="shared" si="45"/>
        <v>33784.212548000003</v>
      </c>
      <c r="K143" s="182">
        <f t="shared" si="46"/>
        <v>4054.1055057600001</v>
      </c>
      <c r="L143" s="204">
        <f t="shared" si="39"/>
        <v>1784.64</v>
      </c>
      <c r="M143" s="133">
        <f t="shared" si="37"/>
        <v>81.36</v>
      </c>
      <c r="N143" s="225">
        <v>0</v>
      </c>
      <c r="O143" s="278">
        <f t="shared" ref="O143:O151" si="47">SUM(B143:N143)</f>
        <v>672236.19511884323</v>
      </c>
      <c r="P143" s="312"/>
      <c r="Q143" s="261"/>
      <c r="R143" s="261"/>
    </row>
    <row r="144" spans="1:18" s="2" customFormat="1">
      <c r="A144" s="121" t="s">
        <v>252</v>
      </c>
      <c r="B144" s="133">
        <f>(7210.3*12)+(86523.6)*(6.79/100)</f>
        <v>92398.552439999999</v>
      </c>
      <c r="C144" s="176">
        <v>0</v>
      </c>
      <c r="D144" s="176">
        <v>0</v>
      </c>
      <c r="E144" s="176">
        <v>0</v>
      </c>
      <c r="F144" s="182">
        <v>0</v>
      </c>
      <c r="G144" s="176">
        <f>511.2*12</f>
        <v>6134.4</v>
      </c>
      <c r="H144" s="182">
        <f t="shared" si="44"/>
        <v>16696.418425907999</v>
      </c>
      <c r="I144" s="176">
        <v>0</v>
      </c>
      <c r="J144" s="182">
        <f t="shared" si="45"/>
        <v>7699.8793699999997</v>
      </c>
      <c r="K144" s="182">
        <f t="shared" si="46"/>
        <v>923.98552440000003</v>
      </c>
      <c r="L144" s="204">
        <f t="shared" si="39"/>
        <v>1784.64</v>
      </c>
      <c r="M144" s="133">
        <f t="shared" si="37"/>
        <v>81.36</v>
      </c>
      <c r="N144" s="225">
        <v>0</v>
      </c>
      <c r="O144" s="278">
        <f t="shared" si="47"/>
        <v>125719.23576030799</v>
      </c>
      <c r="P144" s="312"/>
      <c r="Q144" s="261"/>
      <c r="R144" s="261"/>
    </row>
    <row r="145" spans="1:18" s="2" customFormat="1">
      <c r="A145" s="89" t="s">
        <v>253</v>
      </c>
      <c r="B145" s="133">
        <f>(7210.3*12)+(86523.6)*(6.79/100)</f>
        <v>92398.552439999999</v>
      </c>
      <c r="C145" s="176">
        <v>0</v>
      </c>
      <c r="D145" s="176">
        <v>0</v>
      </c>
      <c r="E145" s="176">
        <v>0</v>
      </c>
      <c r="F145" s="182">
        <v>0</v>
      </c>
      <c r="G145" s="176">
        <f>958.2*12</f>
        <v>11498.400000000001</v>
      </c>
      <c r="H145" s="182">
        <f t="shared" si="44"/>
        <v>16696.418425907999</v>
      </c>
      <c r="I145" s="176">
        <v>0</v>
      </c>
      <c r="J145" s="182">
        <f t="shared" si="45"/>
        <v>7699.8793699999997</v>
      </c>
      <c r="K145" s="182">
        <f t="shared" si="46"/>
        <v>923.98552440000003</v>
      </c>
      <c r="L145" s="204">
        <f t="shared" si="39"/>
        <v>1784.64</v>
      </c>
      <c r="M145" s="133">
        <f t="shared" si="37"/>
        <v>81.36</v>
      </c>
      <c r="N145" s="225">
        <v>0</v>
      </c>
      <c r="O145" s="278">
        <f t="shared" si="47"/>
        <v>131083.23576030799</v>
      </c>
      <c r="P145" s="312"/>
      <c r="Q145" s="261"/>
      <c r="R145" s="261"/>
    </row>
    <row r="146" spans="1:18" s="2" customFormat="1">
      <c r="A146" s="95" t="s">
        <v>254</v>
      </c>
      <c r="B146" s="133">
        <f>(7210.3*12)+(86523.6)*(6.79/100)</f>
        <v>92398.552439999999</v>
      </c>
      <c r="C146" s="176">
        <v>0</v>
      </c>
      <c r="D146" s="277">
        <v>0</v>
      </c>
      <c r="E146" s="277">
        <v>0</v>
      </c>
      <c r="F146" s="182">
        <v>0</v>
      </c>
      <c r="G146" s="176">
        <f>1518*12</f>
        <v>18216</v>
      </c>
      <c r="H146" s="182">
        <f t="shared" si="44"/>
        <v>16696.418425907999</v>
      </c>
      <c r="I146" s="277">
        <v>0</v>
      </c>
      <c r="J146" s="182">
        <f t="shared" si="45"/>
        <v>7699.8793699999997</v>
      </c>
      <c r="K146" s="182">
        <f t="shared" si="46"/>
        <v>923.98552440000003</v>
      </c>
      <c r="L146" s="204">
        <f t="shared" si="39"/>
        <v>1784.64</v>
      </c>
      <c r="M146" s="133">
        <f t="shared" si="37"/>
        <v>81.36</v>
      </c>
      <c r="N146" s="225">
        <v>0</v>
      </c>
      <c r="O146" s="333">
        <f t="shared" si="47"/>
        <v>137800.83576030799</v>
      </c>
      <c r="P146" s="312"/>
      <c r="Q146" s="261"/>
      <c r="R146" s="261"/>
    </row>
    <row r="147" spans="1:18" s="324" customFormat="1">
      <c r="A147" s="95" t="s">
        <v>210</v>
      </c>
      <c r="B147" s="133">
        <f>(22736.42*12)+(272837.04)*(6.79/100)</f>
        <v>291362.67501599999</v>
      </c>
      <c r="C147" s="176">
        <v>0</v>
      </c>
      <c r="D147" s="277">
        <v>0</v>
      </c>
      <c r="E147" s="277">
        <f>6561.25*12</f>
        <v>78735</v>
      </c>
      <c r="F147" s="182">
        <f>478*12</f>
        <v>5736</v>
      </c>
      <c r="G147" s="176">
        <v>0</v>
      </c>
      <c r="H147" s="182">
        <f t="shared" si="44"/>
        <v>52649.235375391196</v>
      </c>
      <c r="I147" s="176">
        <f>444*12</f>
        <v>5328</v>
      </c>
      <c r="J147" s="182">
        <f t="shared" si="45"/>
        <v>24280.222917999999</v>
      </c>
      <c r="K147" s="182">
        <f t="shared" si="46"/>
        <v>2913.62675016</v>
      </c>
      <c r="L147" s="204">
        <f t="shared" si="39"/>
        <v>1784.64</v>
      </c>
      <c r="M147" s="133">
        <f t="shared" si="37"/>
        <v>81.36</v>
      </c>
      <c r="N147" s="188">
        <v>0</v>
      </c>
      <c r="O147" s="333">
        <f t="shared" si="47"/>
        <v>462870.76005955122</v>
      </c>
      <c r="P147" s="312"/>
      <c r="Q147" s="323"/>
      <c r="R147" s="323"/>
    </row>
    <row r="148" spans="1:18" s="324" customFormat="1">
      <c r="A148" s="89" t="s">
        <v>169</v>
      </c>
      <c r="B148" s="133">
        <f>(7210.3*12)+(86523.6)*(6.79/100)</f>
        <v>92398.552439999999</v>
      </c>
      <c r="C148" s="176">
        <v>0</v>
      </c>
      <c r="D148" s="277">
        <v>0</v>
      </c>
      <c r="E148" s="277">
        <v>0</v>
      </c>
      <c r="F148" s="182">
        <v>0</v>
      </c>
      <c r="G148" s="176">
        <f>2016*12</f>
        <v>24192</v>
      </c>
      <c r="H148" s="182">
        <f t="shared" si="44"/>
        <v>16696.418425907999</v>
      </c>
      <c r="I148" s="176">
        <v>0</v>
      </c>
      <c r="J148" s="182">
        <f t="shared" si="45"/>
        <v>7699.8793699999997</v>
      </c>
      <c r="K148" s="182">
        <f t="shared" si="46"/>
        <v>923.98552440000003</v>
      </c>
      <c r="L148" s="204">
        <f t="shared" si="39"/>
        <v>1784.64</v>
      </c>
      <c r="M148" s="133">
        <f t="shared" si="37"/>
        <v>81.36</v>
      </c>
      <c r="N148" s="188">
        <v>0</v>
      </c>
      <c r="O148" s="333">
        <f t="shared" si="47"/>
        <v>143776.83576030799</v>
      </c>
      <c r="P148" s="312"/>
      <c r="Q148" s="323"/>
    </row>
    <row r="149" spans="1:18" s="324" customFormat="1">
      <c r="A149" s="89" t="s">
        <v>326</v>
      </c>
      <c r="B149" s="133">
        <f>(35613.32*12)+(427359.84)*(6.79/100)</f>
        <v>456377.57313599996</v>
      </c>
      <c r="C149" s="176">
        <v>0</v>
      </c>
      <c r="D149" s="176">
        <v>0</v>
      </c>
      <c r="E149" s="176">
        <f>9242.57*12</f>
        <v>110910.84</v>
      </c>
      <c r="F149" s="337">
        <v>0</v>
      </c>
      <c r="G149" s="176">
        <v>0</v>
      </c>
      <c r="H149" s="182">
        <f t="shared" si="44"/>
        <v>82467.427465675195</v>
      </c>
      <c r="I149" s="176">
        <f>448*12</f>
        <v>5376</v>
      </c>
      <c r="J149" s="182">
        <f t="shared" si="45"/>
        <v>38031.464427999999</v>
      </c>
      <c r="K149" s="182">
        <f t="shared" si="46"/>
        <v>4563.7757313599996</v>
      </c>
      <c r="L149" s="204">
        <f t="shared" si="39"/>
        <v>1784.64</v>
      </c>
      <c r="M149" s="133">
        <f t="shared" si="37"/>
        <v>81.36</v>
      </c>
      <c r="N149" s="188"/>
      <c r="O149" s="333">
        <f t="shared" si="47"/>
        <v>699593.08076103509</v>
      </c>
      <c r="P149" s="312"/>
      <c r="Q149" s="323"/>
    </row>
    <row r="150" spans="1:18" s="2" customFormat="1">
      <c r="A150" s="316" t="s">
        <v>235</v>
      </c>
      <c r="B150" s="133">
        <f>(22736.42*12)+(272837.04)*(6.79/100)</f>
        <v>291362.67501599999</v>
      </c>
      <c r="C150" s="188">
        <v>0</v>
      </c>
      <c r="D150" s="325">
        <v>0</v>
      </c>
      <c r="E150" s="188">
        <f>6561.25*12</f>
        <v>78735</v>
      </c>
      <c r="F150" s="188">
        <f>2016*12</f>
        <v>24192</v>
      </c>
      <c r="G150" s="188">
        <f>B150*18.07%</f>
        <v>52649.235375391196</v>
      </c>
      <c r="H150" s="182">
        <f t="shared" si="44"/>
        <v>52649.235375391196</v>
      </c>
      <c r="I150" s="176">
        <f>448*12</f>
        <v>5376</v>
      </c>
      <c r="J150" s="182">
        <f t="shared" si="45"/>
        <v>24280.222917999999</v>
      </c>
      <c r="K150" s="182">
        <f t="shared" si="46"/>
        <v>2913.62675016</v>
      </c>
      <c r="L150" s="204">
        <f t="shared" si="39"/>
        <v>1784.64</v>
      </c>
      <c r="M150" s="133">
        <f t="shared" si="37"/>
        <v>81.36</v>
      </c>
      <c r="N150" s="188"/>
      <c r="O150" s="333">
        <f t="shared" si="47"/>
        <v>534023.99543494242</v>
      </c>
      <c r="P150" s="312"/>
      <c r="Q150" s="261"/>
      <c r="R150" s="261"/>
    </row>
    <row r="151" spans="1:18" s="2" customFormat="1" ht="15.75" thickBot="1">
      <c r="A151" s="89" t="s">
        <v>232</v>
      </c>
      <c r="B151" s="133">
        <f>(22736.42*12)+(272837.04)*(6.79/100)</f>
        <v>291362.67501599999</v>
      </c>
      <c r="C151" s="176">
        <v>0</v>
      </c>
      <c r="D151" s="176">
        <v>0</v>
      </c>
      <c r="E151" s="176">
        <f>6561.25*12</f>
        <v>78735</v>
      </c>
      <c r="F151" s="335">
        <f>300*12</f>
        <v>3600</v>
      </c>
      <c r="G151" s="176">
        <f>2016*12</f>
        <v>24192</v>
      </c>
      <c r="H151" s="335">
        <f t="shared" si="44"/>
        <v>52649.235375391196</v>
      </c>
      <c r="I151" s="176">
        <f>400*12</f>
        <v>4800</v>
      </c>
      <c r="J151" s="335">
        <f t="shared" si="45"/>
        <v>24280.222917999999</v>
      </c>
      <c r="K151" s="335">
        <f t="shared" si="46"/>
        <v>2913.62675016</v>
      </c>
      <c r="L151" s="336">
        <f t="shared" si="39"/>
        <v>1784.64</v>
      </c>
      <c r="M151" s="133">
        <f t="shared" si="37"/>
        <v>81.36</v>
      </c>
      <c r="N151" s="188">
        <v>0</v>
      </c>
      <c r="O151" s="176">
        <f t="shared" si="47"/>
        <v>484398.76005955122</v>
      </c>
      <c r="P151" s="312"/>
      <c r="Q151" s="261"/>
    </row>
    <row r="152" spans="1:18" ht="15.75" thickBot="1">
      <c r="A152" s="94"/>
      <c r="B152" s="183">
        <f>SUM(B118:B151)</f>
        <v>7703517.1792079965</v>
      </c>
      <c r="C152" s="183">
        <f t="shared" ref="C152:H152" si="48">SUM(C118:C151)</f>
        <v>0</v>
      </c>
      <c r="D152" s="183">
        <f t="shared" si="48"/>
        <v>0</v>
      </c>
      <c r="E152" s="183">
        <f t="shared" si="48"/>
        <v>1234750.92</v>
      </c>
      <c r="F152" s="183">
        <f t="shared" si="48"/>
        <v>109176.12</v>
      </c>
      <c r="G152" s="183">
        <f t="shared" si="48"/>
        <v>730996.28137539118</v>
      </c>
      <c r="H152" s="183">
        <f t="shared" si="48"/>
        <v>1392025.5542828855</v>
      </c>
      <c r="I152" s="183">
        <f t="shared" ref="I152:N152" si="49">SUM(I118:I151)</f>
        <v>115824</v>
      </c>
      <c r="J152" s="183">
        <f t="shared" si="49"/>
        <v>641959.76493399998</v>
      </c>
      <c r="K152" s="183">
        <f t="shared" si="49"/>
        <v>77035.171792080015</v>
      </c>
      <c r="L152" s="183">
        <f t="shared" si="49"/>
        <v>59018.999999999985</v>
      </c>
      <c r="M152" s="183">
        <f t="shared" si="49"/>
        <v>2766.24</v>
      </c>
      <c r="N152" s="183">
        <f t="shared" si="49"/>
        <v>0</v>
      </c>
      <c r="O152" s="334">
        <f>SUM(B152:N152)</f>
        <v>12067070.231592353</v>
      </c>
      <c r="P152" s="201"/>
    </row>
    <row r="154" spans="1:18">
      <c r="A154" s="110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</row>
    <row r="155" spans="1:18">
      <c r="A155" s="84" t="s">
        <v>224</v>
      </c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</row>
    <row r="156" spans="1:18">
      <c r="A156" s="84" t="s">
        <v>225</v>
      </c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</row>
    <row r="157" spans="1:18">
      <c r="A157" s="111"/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</row>
    <row r="158" spans="1:18" ht="15.75" thickBot="1">
      <c r="A158" s="84"/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</row>
    <row r="159" spans="1:18">
      <c r="A159" s="112" t="s">
        <v>226</v>
      </c>
      <c r="B159" s="184" t="s">
        <v>114</v>
      </c>
      <c r="C159" s="309"/>
      <c r="D159" s="226" t="s">
        <v>227</v>
      </c>
      <c r="E159" s="184" t="s">
        <v>115</v>
      </c>
      <c r="F159" s="185" t="s">
        <v>116</v>
      </c>
      <c r="G159" s="184" t="s">
        <v>118</v>
      </c>
      <c r="H159" s="185" t="s">
        <v>168</v>
      </c>
      <c r="I159" s="184" t="s">
        <v>117</v>
      </c>
      <c r="J159" s="185" t="s">
        <v>120</v>
      </c>
      <c r="K159" s="184" t="s">
        <v>122</v>
      </c>
      <c r="L159" s="185" t="s">
        <v>147</v>
      </c>
      <c r="M159" s="184" t="s">
        <v>148</v>
      </c>
      <c r="N159" s="185" t="s">
        <v>228</v>
      </c>
      <c r="O159" s="226" t="s">
        <v>123</v>
      </c>
    </row>
    <row r="160" spans="1:18" ht="24" thickBot="1">
      <c r="A160" s="113" t="s">
        <v>229</v>
      </c>
      <c r="B160" s="186" t="s">
        <v>124</v>
      </c>
      <c r="C160" s="310"/>
      <c r="D160" s="227"/>
      <c r="E160" s="186" t="s">
        <v>124</v>
      </c>
      <c r="F160" s="187"/>
      <c r="G160" s="186" t="s">
        <v>125</v>
      </c>
      <c r="H160" s="187" t="s">
        <v>126</v>
      </c>
      <c r="I160" s="186" t="s">
        <v>124</v>
      </c>
      <c r="J160" s="187"/>
      <c r="K160" s="186"/>
      <c r="L160" s="187"/>
      <c r="M160" s="186"/>
      <c r="N160" s="205" t="s">
        <v>230</v>
      </c>
      <c r="O160" s="227"/>
    </row>
    <row r="161" spans="1:18">
      <c r="A161" s="89" t="s">
        <v>217</v>
      </c>
      <c r="B161" s="162">
        <f>(26506.5*12)+(318078)*(8/100)</f>
        <v>343524.24</v>
      </c>
      <c r="C161" s="128"/>
      <c r="D161" s="134">
        <v>0</v>
      </c>
      <c r="E161" s="133">
        <v>0</v>
      </c>
      <c r="F161" s="133">
        <v>0</v>
      </c>
      <c r="G161" s="188">
        <v>0</v>
      </c>
      <c r="H161" s="188">
        <f>B161*18.07%</f>
        <v>62074.830168</v>
      </c>
      <c r="I161" s="133">
        <f>444*12</f>
        <v>5328</v>
      </c>
      <c r="J161" s="188">
        <f t="shared" ref="J161:J168" si="50">B161/12</f>
        <v>28627.02</v>
      </c>
      <c r="K161" s="133">
        <f>B161*1%</f>
        <v>3435.2424000000001</v>
      </c>
      <c r="L161" s="133">
        <f>148.72*12</f>
        <v>1784.6399999999999</v>
      </c>
      <c r="M161" s="188">
        <f>6.78*12</f>
        <v>81.36</v>
      </c>
      <c r="N161" s="133">
        <v>0</v>
      </c>
      <c r="O161" s="292">
        <f t="shared" ref="O161:O169" si="51">SUM(B161:N161)</f>
        <v>444855.33256800001</v>
      </c>
      <c r="P161" s="201"/>
    </row>
    <row r="162" spans="1:18">
      <c r="A162" s="89" t="s">
        <v>218</v>
      </c>
      <c r="B162" s="162">
        <f>(33027.98*12)+(396335.76)*(8/100)</f>
        <v>428042.62080000003</v>
      </c>
      <c r="C162" s="128"/>
      <c r="D162" s="134">
        <v>0</v>
      </c>
      <c r="E162" s="133">
        <v>0</v>
      </c>
      <c r="F162" s="133">
        <v>0</v>
      </c>
      <c r="G162" s="188">
        <f>1212*12</f>
        <v>14544</v>
      </c>
      <c r="H162" s="188">
        <f>B162*18.07%</f>
        <v>77347.30157856</v>
      </c>
      <c r="I162" s="133">
        <v>0</v>
      </c>
      <c r="J162" s="188">
        <f t="shared" si="50"/>
        <v>35670.218400000005</v>
      </c>
      <c r="K162" s="133">
        <f>B162*1%</f>
        <v>4280.4262080000008</v>
      </c>
      <c r="L162" s="133">
        <f t="shared" ref="L162:L168" si="52">148.72*12</f>
        <v>1784.6399999999999</v>
      </c>
      <c r="M162" s="188">
        <f t="shared" ref="M162:M168" si="53">6.78*12</f>
        <v>81.36</v>
      </c>
      <c r="N162" s="133">
        <v>0</v>
      </c>
      <c r="O162" s="292">
        <f t="shared" si="51"/>
        <v>561750.56698656012</v>
      </c>
      <c r="P162" s="201"/>
    </row>
    <row r="163" spans="1:18">
      <c r="A163" s="89" t="s">
        <v>219</v>
      </c>
      <c r="B163" s="162">
        <f>(18443.62*12)+(221323.44)*(8/100)</f>
        <v>239029.31520000001</v>
      </c>
      <c r="C163" s="128"/>
      <c r="D163" s="134">
        <v>0</v>
      </c>
      <c r="E163" s="133">
        <v>0</v>
      </c>
      <c r="F163" s="133">
        <v>0</v>
      </c>
      <c r="G163" s="188">
        <f>2831.4*12</f>
        <v>33976.800000000003</v>
      </c>
      <c r="H163" s="188">
        <f>B163*18.07%</f>
        <v>43192.597256640001</v>
      </c>
      <c r="I163" s="133">
        <v>0</v>
      </c>
      <c r="J163" s="188">
        <f t="shared" si="50"/>
        <v>19919.1096</v>
      </c>
      <c r="K163" s="133">
        <f>B163*1%</f>
        <v>2390.2931520000002</v>
      </c>
      <c r="L163" s="133">
        <f t="shared" si="52"/>
        <v>1784.6399999999999</v>
      </c>
      <c r="M163" s="188">
        <f t="shared" si="53"/>
        <v>81.36</v>
      </c>
      <c r="N163" s="133">
        <v>0</v>
      </c>
      <c r="O163" s="292">
        <f t="shared" si="51"/>
        <v>340374.11520864</v>
      </c>
      <c r="P163" s="201"/>
    </row>
    <row r="164" spans="1:18">
      <c r="A164" s="89" t="s">
        <v>220</v>
      </c>
      <c r="B164" s="162">
        <f>(15008.44*12)+(180101.28)*(8/100)</f>
        <v>194509.3824</v>
      </c>
      <c r="C164" s="128"/>
      <c r="D164" s="134">
        <v>0</v>
      </c>
      <c r="E164" s="133">
        <v>0</v>
      </c>
      <c r="F164" s="133">
        <v>0</v>
      </c>
      <c r="G164" s="188">
        <f>2461.8*12</f>
        <v>29541.600000000002</v>
      </c>
      <c r="H164" s="188">
        <f>B164*18.07%</f>
        <v>35147.845399680002</v>
      </c>
      <c r="I164" s="133">
        <v>0</v>
      </c>
      <c r="J164" s="188">
        <f t="shared" si="50"/>
        <v>16209.1152</v>
      </c>
      <c r="K164" s="133">
        <f>B164*1%</f>
        <v>1945.093824</v>
      </c>
      <c r="L164" s="133">
        <f t="shared" si="52"/>
        <v>1784.6399999999999</v>
      </c>
      <c r="M164" s="188">
        <f t="shared" si="53"/>
        <v>81.36</v>
      </c>
      <c r="N164" s="133">
        <v>0</v>
      </c>
      <c r="O164" s="292">
        <f t="shared" si="51"/>
        <v>279219.03682367998</v>
      </c>
      <c r="P164" s="201"/>
    </row>
    <row r="165" spans="1:18" s="2" customFormat="1">
      <c r="A165" s="89" t="s">
        <v>236</v>
      </c>
      <c r="B165" s="307"/>
      <c r="C165" s="176">
        <v>0</v>
      </c>
      <c r="D165" s="297">
        <v>0</v>
      </c>
      <c r="E165" s="176">
        <v>0</v>
      </c>
      <c r="F165" s="176">
        <v>0</v>
      </c>
      <c r="G165" s="176"/>
      <c r="H165" s="176">
        <f>B165*18.07%</f>
        <v>0</v>
      </c>
      <c r="I165" s="261"/>
      <c r="J165" s="188">
        <f>B165/12</f>
        <v>0</v>
      </c>
      <c r="K165" s="176">
        <f>B165*1%</f>
        <v>0</v>
      </c>
      <c r="L165" s="176"/>
      <c r="M165" s="188"/>
      <c r="N165" s="176">
        <v>0</v>
      </c>
      <c r="O165" s="292">
        <f t="shared" si="51"/>
        <v>0</v>
      </c>
      <c r="P165" s="312"/>
      <c r="Q165" s="261"/>
      <c r="R165" s="261"/>
    </row>
    <row r="166" spans="1:18" s="97" customFormat="1">
      <c r="A166" s="109" t="s">
        <v>237</v>
      </c>
      <c r="B166" s="163"/>
      <c r="C166" s="150"/>
      <c r="D166" s="152"/>
      <c r="E166" s="150"/>
      <c r="F166" s="150"/>
      <c r="G166" s="150"/>
      <c r="H166" s="150"/>
      <c r="I166" s="215"/>
      <c r="J166" s="171"/>
      <c r="K166" s="150"/>
      <c r="L166" s="150"/>
      <c r="M166" s="188"/>
      <c r="N166" s="150"/>
      <c r="O166" s="292">
        <f t="shared" si="51"/>
        <v>0</v>
      </c>
      <c r="P166" s="201"/>
      <c r="Q166" s="215"/>
      <c r="R166" s="215"/>
    </row>
    <row r="167" spans="1:18" s="2" customFormat="1">
      <c r="A167" s="89" t="s">
        <v>221</v>
      </c>
      <c r="B167" s="307">
        <f>(21776.38*7/100)+261316.56</f>
        <v>262840.90659999999</v>
      </c>
      <c r="C167" s="176">
        <v>0</v>
      </c>
      <c r="D167" s="297">
        <v>0</v>
      </c>
      <c r="E167" s="176">
        <v>0</v>
      </c>
      <c r="F167" s="176">
        <v>0</v>
      </c>
      <c r="G167" s="176">
        <v>0</v>
      </c>
      <c r="H167" s="176">
        <v>0</v>
      </c>
      <c r="I167" s="261"/>
      <c r="J167" s="188">
        <f>B167/12</f>
        <v>21903.408883333334</v>
      </c>
      <c r="K167" s="176">
        <f>B167*1%</f>
        <v>2628.4090659999997</v>
      </c>
      <c r="L167" s="133">
        <f t="shared" si="52"/>
        <v>1784.6399999999999</v>
      </c>
      <c r="M167" s="188">
        <f t="shared" si="53"/>
        <v>81.36</v>
      </c>
      <c r="N167" s="176">
        <v>0</v>
      </c>
      <c r="O167" s="292">
        <f t="shared" si="51"/>
        <v>289238.72454933333</v>
      </c>
      <c r="P167" s="312"/>
      <c r="Q167" s="261"/>
      <c r="R167" s="261"/>
    </row>
    <row r="168" spans="1:18">
      <c r="A168" s="89" t="s">
        <v>222</v>
      </c>
      <c r="B168" s="161">
        <f>(26506.5*12)+(318078)*(8/100)</f>
        <v>343524.24</v>
      </c>
      <c r="C168" s="128"/>
      <c r="D168" s="134">
        <v>0</v>
      </c>
      <c r="E168" s="133">
        <v>0</v>
      </c>
      <c r="F168" s="133">
        <v>0</v>
      </c>
      <c r="G168" s="133">
        <v>0</v>
      </c>
      <c r="H168" s="133">
        <f>B168*18.07%</f>
        <v>62074.830168</v>
      </c>
      <c r="I168" s="133">
        <f>444*12</f>
        <v>5328</v>
      </c>
      <c r="J168" s="188">
        <f t="shared" si="50"/>
        <v>28627.02</v>
      </c>
      <c r="K168" s="176">
        <f>B168*1%</f>
        <v>3435.2424000000001</v>
      </c>
      <c r="L168" s="133">
        <f t="shared" si="52"/>
        <v>1784.6399999999999</v>
      </c>
      <c r="M168" s="188">
        <f t="shared" si="53"/>
        <v>81.36</v>
      </c>
      <c r="N168" s="133">
        <v>0</v>
      </c>
      <c r="O168" s="292">
        <f t="shared" si="51"/>
        <v>444855.33256800001</v>
      </c>
      <c r="P168" s="201"/>
    </row>
    <row r="169" spans="1:18" ht="15.75" thickBot="1">
      <c r="A169" s="114"/>
      <c r="B169" s="308">
        <f>SUM(B161:B168)</f>
        <v>1811470.7049999998</v>
      </c>
      <c r="C169" s="308">
        <f>SUM(C150:C168)</f>
        <v>0</v>
      </c>
      <c r="D169" s="308">
        <f>SUM(D150:D168)</f>
        <v>0</v>
      </c>
      <c r="E169" s="308">
        <f t="shared" ref="E169:M169" si="54">SUM(E161:E168)</f>
        <v>0</v>
      </c>
      <c r="F169" s="189">
        <f t="shared" si="54"/>
        <v>0</v>
      </c>
      <c r="G169" s="189">
        <f t="shared" si="54"/>
        <v>78062.400000000009</v>
      </c>
      <c r="H169" s="189">
        <f t="shared" si="54"/>
        <v>279837.40457088</v>
      </c>
      <c r="I169" s="189">
        <f t="shared" si="54"/>
        <v>10656</v>
      </c>
      <c r="J169" s="189">
        <f t="shared" si="54"/>
        <v>150955.89208333334</v>
      </c>
      <c r="K169" s="189">
        <f t="shared" si="54"/>
        <v>18114.707050000001</v>
      </c>
      <c r="L169" s="189">
        <f t="shared" si="54"/>
        <v>10707.839999999998</v>
      </c>
      <c r="M169" s="189">
        <f t="shared" si="54"/>
        <v>488.16</v>
      </c>
      <c r="N169" s="189">
        <f>SUM(N150:N168)</f>
        <v>0</v>
      </c>
      <c r="O169" s="338">
        <f t="shared" si="51"/>
        <v>2360293.1087042131</v>
      </c>
      <c r="P169" s="201"/>
    </row>
    <row r="170" spans="1:18" ht="12" customHeight="1">
      <c r="A170" s="115"/>
      <c r="B170" s="190"/>
      <c r="C170" s="190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</row>
  </sheetData>
  <mergeCells count="4">
    <mergeCell ref="D3:D4"/>
    <mergeCell ref="H3:H4"/>
    <mergeCell ref="J3:J4"/>
    <mergeCell ref="K3:K4"/>
  </mergeCells>
  <pageMargins left="0.7" right="0.7" top="0.75" bottom="0.75" header="0.3" footer="0.3"/>
  <pageSetup paperSize="9" scale="59" orientation="landscape" r:id="rId1"/>
  <rowBreaks count="7" manualBreakCount="7">
    <brk id="22" max="16383" man="1"/>
    <brk id="33" max="16383" man="1"/>
    <brk id="59" max="16383" man="1"/>
    <brk id="70" max="16383" man="1"/>
    <brk id="87" max="16383" man="1"/>
    <brk id="113" max="16383" man="1"/>
    <brk id="153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3" sqref="A3"/>
    </sheetView>
  </sheetViews>
  <sheetFormatPr defaultRowHeight="15"/>
  <cols>
    <col min="1" max="1" width="18.28515625" style="1" bestFit="1" customWidth="1"/>
    <col min="2" max="2" width="17" style="1" bestFit="1" customWidth="1"/>
    <col min="3" max="3" width="19.140625" style="1" bestFit="1" customWidth="1"/>
    <col min="4" max="4" width="32" style="1" bestFit="1" customWidth="1"/>
    <col min="5" max="5" width="12.140625" style="1" customWidth="1"/>
    <col min="6" max="6" width="9.140625" style="1"/>
    <col min="7" max="7" width="20.28515625" style="1" bestFit="1" customWidth="1"/>
    <col min="8" max="8" width="9.140625" style="1"/>
    <col min="9" max="9" width="11.5703125" style="1" bestFit="1" customWidth="1"/>
    <col min="10" max="10" width="9.140625" style="1"/>
    <col min="11" max="11" width="10.7109375" style="1" bestFit="1" customWidth="1"/>
    <col min="12" max="12" width="9.140625" style="1"/>
    <col min="13" max="13" width="9.85546875" style="1" bestFit="1" customWidth="1"/>
    <col min="14" max="256" width="9.140625" style="1"/>
    <col min="257" max="257" width="18.28515625" style="1" bestFit="1" customWidth="1"/>
    <col min="258" max="258" width="17" style="1" bestFit="1" customWidth="1"/>
    <col min="259" max="259" width="19.140625" style="1" bestFit="1" customWidth="1"/>
    <col min="260" max="260" width="32" style="1" bestFit="1" customWidth="1"/>
    <col min="261" max="261" width="12.140625" style="1" customWidth="1"/>
    <col min="262" max="262" width="9.140625" style="1"/>
    <col min="263" max="263" width="20.28515625" style="1" bestFit="1" customWidth="1"/>
    <col min="264" max="264" width="9.140625" style="1"/>
    <col min="265" max="265" width="11.5703125" style="1" bestFit="1" customWidth="1"/>
    <col min="266" max="266" width="9.140625" style="1"/>
    <col min="267" max="267" width="10.7109375" style="1" bestFit="1" customWidth="1"/>
    <col min="268" max="268" width="9.140625" style="1"/>
    <col min="269" max="269" width="9.85546875" style="1" bestFit="1" customWidth="1"/>
    <col min="270" max="512" width="9.140625" style="1"/>
    <col min="513" max="513" width="18.28515625" style="1" bestFit="1" customWidth="1"/>
    <col min="514" max="514" width="17" style="1" bestFit="1" customWidth="1"/>
    <col min="515" max="515" width="19.140625" style="1" bestFit="1" customWidth="1"/>
    <col min="516" max="516" width="32" style="1" bestFit="1" customWidth="1"/>
    <col min="517" max="517" width="12.140625" style="1" customWidth="1"/>
    <col min="518" max="518" width="9.140625" style="1"/>
    <col min="519" max="519" width="20.28515625" style="1" bestFit="1" customWidth="1"/>
    <col min="520" max="520" width="9.140625" style="1"/>
    <col min="521" max="521" width="11.5703125" style="1" bestFit="1" customWidth="1"/>
    <col min="522" max="522" width="9.140625" style="1"/>
    <col min="523" max="523" width="10.7109375" style="1" bestFit="1" customWidth="1"/>
    <col min="524" max="524" width="9.140625" style="1"/>
    <col min="525" max="525" width="9.85546875" style="1" bestFit="1" customWidth="1"/>
    <col min="526" max="768" width="9.140625" style="1"/>
    <col min="769" max="769" width="18.28515625" style="1" bestFit="1" customWidth="1"/>
    <col min="770" max="770" width="17" style="1" bestFit="1" customWidth="1"/>
    <col min="771" max="771" width="19.140625" style="1" bestFit="1" customWidth="1"/>
    <col min="772" max="772" width="32" style="1" bestFit="1" customWidth="1"/>
    <col min="773" max="773" width="12.140625" style="1" customWidth="1"/>
    <col min="774" max="774" width="9.140625" style="1"/>
    <col min="775" max="775" width="20.28515625" style="1" bestFit="1" customWidth="1"/>
    <col min="776" max="776" width="9.140625" style="1"/>
    <col min="777" max="777" width="11.5703125" style="1" bestFit="1" customWidth="1"/>
    <col min="778" max="778" width="9.140625" style="1"/>
    <col min="779" max="779" width="10.7109375" style="1" bestFit="1" customWidth="1"/>
    <col min="780" max="780" width="9.140625" style="1"/>
    <col min="781" max="781" width="9.85546875" style="1" bestFit="1" customWidth="1"/>
    <col min="782" max="1024" width="9.140625" style="1"/>
    <col min="1025" max="1025" width="18.28515625" style="1" bestFit="1" customWidth="1"/>
    <col min="1026" max="1026" width="17" style="1" bestFit="1" customWidth="1"/>
    <col min="1027" max="1027" width="19.140625" style="1" bestFit="1" customWidth="1"/>
    <col min="1028" max="1028" width="32" style="1" bestFit="1" customWidth="1"/>
    <col min="1029" max="1029" width="12.140625" style="1" customWidth="1"/>
    <col min="1030" max="1030" width="9.140625" style="1"/>
    <col min="1031" max="1031" width="20.28515625" style="1" bestFit="1" customWidth="1"/>
    <col min="1032" max="1032" width="9.140625" style="1"/>
    <col min="1033" max="1033" width="11.5703125" style="1" bestFit="1" customWidth="1"/>
    <col min="1034" max="1034" width="9.140625" style="1"/>
    <col min="1035" max="1035" width="10.7109375" style="1" bestFit="1" customWidth="1"/>
    <col min="1036" max="1036" width="9.140625" style="1"/>
    <col min="1037" max="1037" width="9.85546875" style="1" bestFit="1" customWidth="1"/>
    <col min="1038" max="1280" width="9.140625" style="1"/>
    <col min="1281" max="1281" width="18.28515625" style="1" bestFit="1" customWidth="1"/>
    <col min="1282" max="1282" width="17" style="1" bestFit="1" customWidth="1"/>
    <col min="1283" max="1283" width="19.140625" style="1" bestFit="1" customWidth="1"/>
    <col min="1284" max="1284" width="32" style="1" bestFit="1" customWidth="1"/>
    <col min="1285" max="1285" width="12.140625" style="1" customWidth="1"/>
    <col min="1286" max="1286" width="9.140625" style="1"/>
    <col min="1287" max="1287" width="20.28515625" style="1" bestFit="1" customWidth="1"/>
    <col min="1288" max="1288" width="9.140625" style="1"/>
    <col min="1289" max="1289" width="11.5703125" style="1" bestFit="1" customWidth="1"/>
    <col min="1290" max="1290" width="9.140625" style="1"/>
    <col min="1291" max="1291" width="10.7109375" style="1" bestFit="1" customWidth="1"/>
    <col min="1292" max="1292" width="9.140625" style="1"/>
    <col min="1293" max="1293" width="9.85546875" style="1" bestFit="1" customWidth="1"/>
    <col min="1294" max="1536" width="9.140625" style="1"/>
    <col min="1537" max="1537" width="18.28515625" style="1" bestFit="1" customWidth="1"/>
    <col min="1538" max="1538" width="17" style="1" bestFit="1" customWidth="1"/>
    <col min="1539" max="1539" width="19.140625" style="1" bestFit="1" customWidth="1"/>
    <col min="1540" max="1540" width="32" style="1" bestFit="1" customWidth="1"/>
    <col min="1541" max="1541" width="12.140625" style="1" customWidth="1"/>
    <col min="1542" max="1542" width="9.140625" style="1"/>
    <col min="1543" max="1543" width="20.28515625" style="1" bestFit="1" customWidth="1"/>
    <col min="1544" max="1544" width="9.140625" style="1"/>
    <col min="1545" max="1545" width="11.5703125" style="1" bestFit="1" customWidth="1"/>
    <col min="1546" max="1546" width="9.140625" style="1"/>
    <col min="1547" max="1547" width="10.7109375" style="1" bestFit="1" customWidth="1"/>
    <col min="1548" max="1548" width="9.140625" style="1"/>
    <col min="1549" max="1549" width="9.85546875" style="1" bestFit="1" customWidth="1"/>
    <col min="1550" max="1792" width="9.140625" style="1"/>
    <col min="1793" max="1793" width="18.28515625" style="1" bestFit="1" customWidth="1"/>
    <col min="1794" max="1794" width="17" style="1" bestFit="1" customWidth="1"/>
    <col min="1795" max="1795" width="19.140625" style="1" bestFit="1" customWidth="1"/>
    <col min="1796" max="1796" width="32" style="1" bestFit="1" customWidth="1"/>
    <col min="1797" max="1797" width="12.140625" style="1" customWidth="1"/>
    <col min="1798" max="1798" width="9.140625" style="1"/>
    <col min="1799" max="1799" width="20.28515625" style="1" bestFit="1" customWidth="1"/>
    <col min="1800" max="1800" width="9.140625" style="1"/>
    <col min="1801" max="1801" width="11.5703125" style="1" bestFit="1" customWidth="1"/>
    <col min="1802" max="1802" width="9.140625" style="1"/>
    <col min="1803" max="1803" width="10.7109375" style="1" bestFit="1" customWidth="1"/>
    <col min="1804" max="1804" width="9.140625" style="1"/>
    <col min="1805" max="1805" width="9.85546875" style="1" bestFit="1" customWidth="1"/>
    <col min="1806" max="2048" width="9.140625" style="1"/>
    <col min="2049" max="2049" width="18.28515625" style="1" bestFit="1" customWidth="1"/>
    <col min="2050" max="2050" width="17" style="1" bestFit="1" customWidth="1"/>
    <col min="2051" max="2051" width="19.140625" style="1" bestFit="1" customWidth="1"/>
    <col min="2052" max="2052" width="32" style="1" bestFit="1" customWidth="1"/>
    <col min="2053" max="2053" width="12.140625" style="1" customWidth="1"/>
    <col min="2054" max="2054" width="9.140625" style="1"/>
    <col min="2055" max="2055" width="20.28515625" style="1" bestFit="1" customWidth="1"/>
    <col min="2056" max="2056" width="9.140625" style="1"/>
    <col min="2057" max="2057" width="11.5703125" style="1" bestFit="1" customWidth="1"/>
    <col min="2058" max="2058" width="9.140625" style="1"/>
    <col min="2059" max="2059" width="10.7109375" style="1" bestFit="1" customWidth="1"/>
    <col min="2060" max="2060" width="9.140625" style="1"/>
    <col min="2061" max="2061" width="9.85546875" style="1" bestFit="1" customWidth="1"/>
    <col min="2062" max="2304" width="9.140625" style="1"/>
    <col min="2305" max="2305" width="18.28515625" style="1" bestFit="1" customWidth="1"/>
    <col min="2306" max="2306" width="17" style="1" bestFit="1" customWidth="1"/>
    <col min="2307" max="2307" width="19.140625" style="1" bestFit="1" customWidth="1"/>
    <col min="2308" max="2308" width="32" style="1" bestFit="1" customWidth="1"/>
    <col min="2309" max="2309" width="12.140625" style="1" customWidth="1"/>
    <col min="2310" max="2310" width="9.140625" style="1"/>
    <col min="2311" max="2311" width="20.28515625" style="1" bestFit="1" customWidth="1"/>
    <col min="2312" max="2312" width="9.140625" style="1"/>
    <col min="2313" max="2313" width="11.5703125" style="1" bestFit="1" customWidth="1"/>
    <col min="2314" max="2314" width="9.140625" style="1"/>
    <col min="2315" max="2315" width="10.7109375" style="1" bestFit="1" customWidth="1"/>
    <col min="2316" max="2316" width="9.140625" style="1"/>
    <col min="2317" max="2317" width="9.85546875" style="1" bestFit="1" customWidth="1"/>
    <col min="2318" max="2560" width="9.140625" style="1"/>
    <col min="2561" max="2561" width="18.28515625" style="1" bestFit="1" customWidth="1"/>
    <col min="2562" max="2562" width="17" style="1" bestFit="1" customWidth="1"/>
    <col min="2563" max="2563" width="19.140625" style="1" bestFit="1" customWidth="1"/>
    <col min="2564" max="2564" width="32" style="1" bestFit="1" customWidth="1"/>
    <col min="2565" max="2565" width="12.140625" style="1" customWidth="1"/>
    <col min="2566" max="2566" width="9.140625" style="1"/>
    <col min="2567" max="2567" width="20.28515625" style="1" bestFit="1" customWidth="1"/>
    <col min="2568" max="2568" width="9.140625" style="1"/>
    <col min="2569" max="2569" width="11.5703125" style="1" bestFit="1" customWidth="1"/>
    <col min="2570" max="2570" width="9.140625" style="1"/>
    <col min="2571" max="2571" width="10.7109375" style="1" bestFit="1" customWidth="1"/>
    <col min="2572" max="2572" width="9.140625" style="1"/>
    <col min="2573" max="2573" width="9.85546875" style="1" bestFit="1" customWidth="1"/>
    <col min="2574" max="2816" width="9.140625" style="1"/>
    <col min="2817" max="2817" width="18.28515625" style="1" bestFit="1" customWidth="1"/>
    <col min="2818" max="2818" width="17" style="1" bestFit="1" customWidth="1"/>
    <col min="2819" max="2819" width="19.140625" style="1" bestFit="1" customWidth="1"/>
    <col min="2820" max="2820" width="32" style="1" bestFit="1" customWidth="1"/>
    <col min="2821" max="2821" width="12.140625" style="1" customWidth="1"/>
    <col min="2822" max="2822" width="9.140625" style="1"/>
    <col min="2823" max="2823" width="20.28515625" style="1" bestFit="1" customWidth="1"/>
    <col min="2824" max="2824" width="9.140625" style="1"/>
    <col min="2825" max="2825" width="11.5703125" style="1" bestFit="1" customWidth="1"/>
    <col min="2826" max="2826" width="9.140625" style="1"/>
    <col min="2827" max="2827" width="10.7109375" style="1" bestFit="1" customWidth="1"/>
    <col min="2828" max="2828" width="9.140625" style="1"/>
    <col min="2829" max="2829" width="9.85546875" style="1" bestFit="1" customWidth="1"/>
    <col min="2830" max="3072" width="9.140625" style="1"/>
    <col min="3073" max="3073" width="18.28515625" style="1" bestFit="1" customWidth="1"/>
    <col min="3074" max="3074" width="17" style="1" bestFit="1" customWidth="1"/>
    <col min="3075" max="3075" width="19.140625" style="1" bestFit="1" customWidth="1"/>
    <col min="3076" max="3076" width="32" style="1" bestFit="1" customWidth="1"/>
    <col min="3077" max="3077" width="12.140625" style="1" customWidth="1"/>
    <col min="3078" max="3078" width="9.140625" style="1"/>
    <col min="3079" max="3079" width="20.28515625" style="1" bestFit="1" customWidth="1"/>
    <col min="3080" max="3080" width="9.140625" style="1"/>
    <col min="3081" max="3081" width="11.5703125" style="1" bestFit="1" customWidth="1"/>
    <col min="3082" max="3082" width="9.140625" style="1"/>
    <col min="3083" max="3083" width="10.7109375" style="1" bestFit="1" customWidth="1"/>
    <col min="3084" max="3084" width="9.140625" style="1"/>
    <col min="3085" max="3085" width="9.85546875" style="1" bestFit="1" customWidth="1"/>
    <col min="3086" max="3328" width="9.140625" style="1"/>
    <col min="3329" max="3329" width="18.28515625" style="1" bestFit="1" customWidth="1"/>
    <col min="3330" max="3330" width="17" style="1" bestFit="1" customWidth="1"/>
    <col min="3331" max="3331" width="19.140625" style="1" bestFit="1" customWidth="1"/>
    <col min="3332" max="3332" width="32" style="1" bestFit="1" customWidth="1"/>
    <col min="3333" max="3333" width="12.140625" style="1" customWidth="1"/>
    <col min="3334" max="3334" width="9.140625" style="1"/>
    <col min="3335" max="3335" width="20.28515625" style="1" bestFit="1" customWidth="1"/>
    <col min="3336" max="3336" width="9.140625" style="1"/>
    <col min="3337" max="3337" width="11.5703125" style="1" bestFit="1" customWidth="1"/>
    <col min="3338" max="3338" width="9.140625" style="1"/>
    <col min="3339" max="3339" width="10.7109375" style="1" bestFit="1" customWidth="1"/>
    <col min="3340" max="3340" width="9.140625" style="1"/>
    <col min="3341" max="3341" width="9.85546875" style="1" bestFit="1" customWidth="1"/>
    <col min="3342" max="3584" width="9.140625" style="1"/>
    <col min="3585" max="3585" width="18.28515625" style="1" bestFit="1" customWidth="1"/>
    <col min="3586" max="3586" width="17" style="1" bestFit="1" customWidth="1"/>
    <col min="3587" max="3587" width="19.140625" style="1" bestFit="1" customWidth="1"/>
    <col min="3588" max="3588" width="32" style="1" bestFit="1" customWidth="1"/>
    <col min="3589" max="3589" width="12.140625" style="1" customWidth="1"/>
    <col min="3590" max="3590" width="9.140625" style="1"/>
    <col min="3591" max="3591" width="20.28515625" style="1" bestFit="1" customWidth="1"/>
    <col min="3592" max="3592" width="9.140625" style="1"/>
    <col min="3593" max="3593" width="11.5703125" style="1" bestFit="1" customWidth="1"/>
    <col min="3594" max="3594" width="9.140625" style="1"/>
    <col min="3595" max="3595" width="10.7109375" style="1" bestFit="1" customWidth="1"/>
    <col min="3596" max="3596" width="9.140625" style="1"/>
    <col min="3597" max="3597" width="9.85546875" style="1" bestFit="1" customWidth="1"/>
    <col min="3598" max="3840" width="9.140625" style="1"/>
    <col min="3841" max="3841" width="18.28515625" style="1" bestFit="1" customWidth="1"/>
    <col min="3842" max="3842" width="17" style="1" bestFit="1" customWidth="1"/>
    <col min="3843" max="3843" width="19.140625" style="1" bestFit="1" customWidth="1"/>
    <col min="3844" max="3844" width="32" style="1" bestFit="1" customWidth="1"/>
    <col min="3845" max="3845" width="12.140625" style="1" customWidth="1"/>
    <col min="3846" max="3846" width="9.140625" style="1"/>
    <col min="3847" max="3847" width="20.28515625" style="1" bestFit="1" customWidth="1"/>
    <col min="3848" max="3848" width="9.140625" style="1"/>
    <col min="3849" max="3849" width="11.5703125" style="1" bestFit="1" customWidth="1"/>
    <col min="3850" max="3850" width="9.140625" style="1"/>
    <col min="3851" max="3851" width="10.7109375" style="1" bestFit="1" customWidth="1"/>
    <col min="3852" max="3852" width="9.140625" style="1"/>
    <col min="3853" max="3853" width="9.85546875" style="1" bestFit="1" customWidth="1"/>
    <col min="3854" max="4096" width="9.140625" style="1"/>
    <col min="4097" max="4097" width="18.28515625" style="1" bestFit="1" customWidth="1"/>
    <col min="4098" max="4098" width="17" style="1" bestFit="1" customWidth="1"/>
    <col min="4099" max="4099" width="19.140625" style="1" bestFit="1" customWidth="1"/>
    <col min="4100" max="4100" width="32" style="1" bestFit="1" customWidth="1"/>
    <col min="4101" max="4101" width="12.140625" style="1" customWidth="1"/>
    <col min="4102" max="4102" width="9.140625" style="1"/>
    <col min="4103" max="4103" width="20.28515625" style="1" bestFit="1" customWidth="1"/>
    <col min="4104" max="4104" width="9.140625" style="1"/>
    <col min="4105" max="4105" width="11.5703125" style="1" bestFit="1" customWidth="1"/>
    <col min="4106" max="4106" width="9.140625" style="1"/>
    <col min="4107" max="4107" width="10.7109375" style="1" bestFit="1" customWidth="1"/>
    <col min="4108" max="4108" width="9.140625" style="1"/>
    <col min="4109" max="4109" width="9.85546875" style="1" bestFit="1" customWidth="1"/>
    <col min="4110" max="4352" width="9.140625" style="1"/>
    <col min="4353" max="4353" width="18.28515625" style="1" bestFit="1" customWidth="1"/>
    <col min="4354" max="4354" width="17" style="1" bestFit="1" customWidth="1"/>
    <col min="4355" max="4355" width="19.140625" style="1" bestFit="1" customWidth="1"/>
    <col min="4356" max="4356" width="32" style="1" bestFit="1" customWidth="1"/>
    <col min="4357" max="4357" width="12.140625" style="1" customWidth="1"/>
    <col min="4358" max="4358" width="9.140625" style="1"/>
    <col min="4359" max="4359" width="20.28515625" style="1" bestFit="1" customWidth="1"/>
    <col min="4360" max="4360" width="9.140625" style="1"/>
    <col min="4361" max="4361" width="11.5703125" style="1" bestFit="1" customWidth="1"/>
    <col min="4362" max="4362" width="9.140625" style="1"/>
    <col min="4363" max="4363" width="10.7109375" style="1" bestFit="1" customWidth="1"/>
    <col min="4364" max="4364" width="9.140625" style="1"/>
    <col min="4365" max="4365" width="9.85546875" style="1" bestFit="1" customWidth="1"/>
    <col min="4366" max="4608" width="9.140625" style="1"/>
    <col min="4609" max="4609" width="18.28515625" style="1" bestFit="1" customWidth="1"/>
    <col min="4610" max="4610" width="17" style="1" bestFit="1" customWidth="1"/>
    <col min="4611" max="4611" width="19.140625" style="1" bestFit="1" customWidth="1"/>
    <col min="4612" max="4612" width="32" style="1" bestFit="1" customWidth="1"/>
    <col min="4613" max="4613" width="12.140625" style="1" customWidth="1"/>
    <col min="4614" max="4614" width="9.140625" style="1"/>
    <col min="4615" max="4615" width="20.28515625" style="1" bestFit="1" customWidth="1"/>
    <col min="4616" max="4616" width="9.140625" style="1"/>
    <col min="4617" max="4617" width="11.5703125" style="1" bestFit="1" customWidth="1"/>
    <col min="4618" max="4618" width="9.140625" style="1"/>
    <col min="4619" max="4619" width="10.7109375" style="1" bestFit="1" customWidth="1"/>
    <col min="4620" max="4620" width="9.140625" style="1"/>
    <col min="4621" max="4621" width="9.85546875" style="1" bestFit="1" customWidth="1"/>
    <col min="4622" max="4864" width="9.140625" style="1"/>
    <col min="4865" max="4865" width="18.28515625" style="1" bestFit="1" customWidth="1"/>
    <col min="4866" max="4866" width="17" style="1" bestFit="1" customWidth="1"/>
    <col min="4867" max="4867" width="19.140625" style="1" bestFit="1" customWidth="1"/>
    <col min="4868" max="4868" width="32" style="1" bestFit="1" customWidth="1"/>
    <col min="4869" max="4869" width="12.140625" style="1" customWidth="1"/>
    <col min="4870" max="4870" width="9.140625" style="1"/>
    <col min="4871" max="4871" width="20.28515625" style="1" bestFit="1" customWidth="1"/>
    <col min="4872" max="4872" width="9.140625" style="1"/>
    <col min="4873" max="4873" width="11.5703125" style="1" bestFit="1" customWidth="1"/>
    <col min="4874" max="4874" width="9.140625" style="1"/>
    <col min="4875" max="4875" width="10.7109375" style="1" bestFit="1" customWidth="1"/>
    <col min="4876" max="4876" width="9.140625" style="1"/>
    <col min="4877" max="4877" width="9.85546875" style="1" bestFit="1" customWidth="1"/>
    <col min="4878" max="5120" width="9.140625" style="1"/>
    <col min="5121" max="5121" width="18.28515625" style="1" bestFit="1" customWidth="1"/>
    <col min="5122" max="5122" width="17" style="1" bestFit="1" customWidth="1"/>
    <col min="5123" max="5123" width="19.140625" style="1" bestFit="1" customWidth="1"/>
    <col min="5124" max="5124" width="32" style="1" bestFit="1" customWidth="1"/>
    <col min="5125" max="5125" width="12.140625" style="1" customWidth="1"/>
    <col min="5126" max="5126" width="9.140625" style="1"/>
    <col min="5127" max="5127" width="20.28515625" style="1" bestFit="1" customWidth="1"/>
    <col min="5128" max="5128" width="9.140625" style="1"/>
    <col min="5129" max="5129" width="11.5703125" style="1" bestFit="1" customWidth="1"/>
    <col min="5130" max="5130" width="9.140625" style="1"/>
    <col min="5131" max="5131" width="10.7109375" style="1" bestFit="1" customWidth="1"/>
    <col min="5132" max="5132" width="9.140625" style="1"/>
    <col min="5133" max="5133" width="9.85546875" style="1" bestFit="1" customWidth="1"/>
    <col min="5134" max="5376" width="9.140625" style="1"/>
    <col min="5377" max="5377" width="18.28515625" style="1" bestFit="1" customWidth="1"/>
    <col min="5378" max="5378" width="17" style="1" bestFit="1" customWidth="1"/>
    <col min="5379" max="5379" width="19.140625" style="1" bestFit="1" customWidth="1"/>
    <col min="5380" max="5380" width="32" style="1" bestFit="1" customWidth="1"/>
    <col min="5381" max="5381" width="12.140625" style="1" customWidth="1"/>
    <col min="5382" max="5382" width="9.140625" style="1"/>
    <col min="5383" max="5383" width="20.28515625" style="1" bestFit="1" customWidth="1"/>
    <col min="5384" max="5384" width="9.140625" style="1"/>
    <col min="5385" max="5385" width="11.5703125" style="1" bestFit="1" customWidth="1"/>
    <col min="5386" max="5386" width="9.140625" style="1"/>
    <col min="5387" max="5387" width="10.7109375" style="1" bestFit="1" customWidth="1"/>
    <col min="5388" max="5388" width="9.140625" style="1"/>
    <col min="5389" max="5389" width="9.85546875" style="1" bestFit="1" customWidth="1"/>
    <col min="5390" max="5632" width="9.140625" style="1"/>
    <col min="5633" max="5633" width="18.28515625" style="1" bestFit="1" customWidth="1"/>
    <col min="5634" max="5634" width="17" style="1" bestFit="1" customWidth="1"/>
    <col min="5635" max="5635" width="19.140625" style="1" bestFit="1" customWidth="1"/>
    <col min="5636" max="5636" width="32" style="1" bestFit="1" customWidth="1"/>
    <col min="5637" max="5637" width="12.140625" style="1" customWidth="1"/>
    <col min="5638" max="5638" width="9.140625" style="1"/>
    <col min="5639" max="5639" width="20.28515625" style="1" bestFit="1" customWidth="1"/>
    <col min="5640" max="5640" width="9.140625" style="1"/>
    <col min="5641" max="5641" width="11.5703125" style="1" bestFit="1" customWidth="1"/>
    <col min="5642" max="5642" width="9.140625" style="1"/>
    <col min="5643" max="5643" width="10.7109375" style="1" bestFit="1" customWidth="1"/>
    <col min="5644" max="5644" width="9.140625" style="1"/>
    <col min="5645" max="5645" width="9.85546875" style="1" bestFit="1" customWidth="1"/>
    <col min="5646" max="5888" width="9.140625" style="1"/>
    <col min="5889" max="5889" width="18.28515625" style="1" bestFit="1" customWidth="1"/>
    <col min="5890" max="5890" width="17" style="1" bestFit="1" customWidth="1"/>
    <col min="5891" max="5891" width="19.140625" style="1" bestFit="1" customWidth="1"/>
    <col min="5892" max="5892" width="32" style="1" bestFit="1" customWidth="1"/>
    <col min="5893" max="5893" width="12.140625" style="1" customWidth="1"/>
    <col min="5894" max="5894" width="9.140625" style="1"/>
    <col min="5895" max="5895" width="20.28515625" style="1" bestFit="1" customWidth="1"/>
    <col min="5896" max="5896" width="9.140625" style="1"/>
    <col min="5897" max="5897" width="11.5703125" style="1" bestFit="1" customWidth="1"/>
    <col min="5898" max="5898" width="9.140625" style="1"/>
    <col min="5899" max="5899" width="10.7109375" style="1" bestFit="1" customWidth="1"/>
    <col min="5900" max="5900" width="9.140625" style="1"/>
    <col min="5901" max="5901" width="9.85546875" style="1" bestFit="1" customWidth="1"/>
    <col min="5902" max="6144" width="9.140625" style="1"/>
    <col min="6145" max="6145" width="18.28515625" style="1" bestFit="1" customWidth="1"/>
    <col min="6146" max="6146" width="17" style="1" bestFit="1" customWidth="1"/>
    <col min="6147" max="6147" width="19.140625" style="1" bestFit="1" customWidth="1"/>
    <col min="6148" max="6148" width="32" style="1" bestFit="1" customWidth="1"/>
    <col min="6149" max="6149" width="12.140625" style="1" customWidth="1"/>
    <col min="6150" max="6150" width="9.140625" style="1"/>
    <col min="6151" max="6151" width="20.28515625" style="1" bestFit="1" customWidth="1"/>
    <col min="6152" max="6152" width="9.140625" style="1"/>
    <col min="6153" max="6153" width="11.5703125" style="1" bestFit="1" customWidth="1"/>
    <col min="6154" max="6154" width="9.140625" style="1"/>
    <col min="6155" max="6155" width="10.7109375" style="1" bestFit="1" customWidth="1"/>
    <col min="6156" max="6156" width="9.140625" style="1"/>
    <col min="6157" max="6157" width="9.85546875" style="1" bestFit="1" customWidth="1"/>
    <col min="6158" max="6400" width="9.140625" style="1"/>
    <col min="6401" max="6401" width="18.28515625" style="1" bestFit="1" customWidth="1"/>
    <col min="6402" max="6402" width="17" style="1" bestFit="1" customWidth="1"/>
    <col min="6403" max="6403" width="19.140625" style="1" bestFit="1" customWidth="1"/>
    <col min="6404" max="6404" width="32" style="1" bestFit="1" customWidth="1"/>
    <col min="6405" max="6405" width="12.140625" style="1" customWidth="1"/>
    <col min="6406" max="6406" width="9.140625" style="1"/>
    <col min="6407" max="6407" width="20.28515625" style="1" bestFit="1" customWidth="1"/>
    <col min="6408" max="6408" width="9.140625" style="1"/>
    <col min="6409" max="6409" width="11.5703125" style="1" bestFit="1" customWidth="1"/>
    <col min="6410" max="6410" width="9.140625" style="1"/>
    <col min="6411" max="6411" width="10.7109375" style="1" bestFit="1" customWidth="1"/>
    <col min="6412" max="6412" width="9.140625" style="1"/>
    <col min="6413" max="6413" width="9.85546875" style="1" bestFit="1" customWidth="1"/>
    <col min="6414" max="6656" width="9.140625" style="1"/>
    <col min="6657" max="6657" width="18.28515625" style="1" bestFit="1" customWidth="1"/>
    <col min="6658" max="6658" width="17" style="1" bestFit="1" customWidth="1"/>
    <col min="6659" max="6659" width="19.140625" style="1" bestFit="1" customWidth="1"/>
    <col min="6660" max="6660" width="32" style="1" bestFit="1" customWidth="1"/>
    <col min="6661" max="6661" width="12.140625" style="1" customWidth="1"/>
    <col min="6662" max="6662" width="9.140625" style="1"/>
    <col min="6663" max="6663" width="20.28515625" style="1" bestFit="1" customWidth="1"/>
    <col min="6664" max="6664" width="9.140625" style="1"/>
    <col min="6665" max="6665" width="11.5703125" style="1" bestFit="1" customWidth="1"/>
    <col min="6666" max="6666" width="9.140625" style="1"/>
    <col min="6667" max="6667" width="10.7109375" style="1" bestFit="1" customWidth="1"/>
    <col min="6668" max="6668" width="9.140625" style="1"/>
    <col min="6669" max="6669" width="9.85546875" style="1" bestFit="1" customWidth="1"/>
    <col min="6670" max="6912" width="9.140625" style="1"/>
    <col min="6913" max="6913" width="18.28515625" style="1" bestFit="1" customWidth="1"/>
    <col min="6914" max="6914" width="17" style="1" bestFit="1" customWidth="1"/>
    <col min="6915" max="6915" width="19.140625" style="1" bestFit="1" customWidth="1"/>
    <col min="6916" max="6916" width="32" style="1" bestFit="1" customWidth="1"/>
    <col min="6917" max="6917" width="12.140625" style="1" customWidth="1"/>
    <col min="6918" max="6918" width="9.140625" style="1"/>
    <col min="6919" max="6919" width="20.28515625" style="1" bestFit="1" customWidth="1"/>
    <col min="6920" max="6920" width="9.140625" style="1"/>
    <col min="6921" max="6921" width="11.5703125" style="1" bestFit="1" customWidth="1"/>
    <col min="6922" max="6922" width="9.140625" style="1"/>
    <col min="6923" max="6923" width="10.7109375" style="1" bestFit="1" customWidth="1"/>
    <col min="6924" max="6924" width="9.140625" style="1"/>
    <col min="6925" max="6925" width="9.85546875" style="1" bestFit="1" customWidth="1"/>
    <col min="6926" max="7168" width="9.140625" style="1"/>
    <col min="7169" max="7169" width="18.28515625" style="1" bestFit="1" customWidth="1"/>
    <col min="7170" max="7170" width="17" style="1" bestFit="1" customWidth="1"/>
    <col min="7171" max="7171" width="19.140625" style="1" bestFit="1" customWidth="1"/>
    <col min="7172" max="7172" width="32" style="1" bestFit="1" customWidth="1"/>
    <col min="7173" max="7173" width="12.140625" style="1" customWidth="1"/>
    <col min="7174" max="7174" width="9.140625" style="1"/>
    <col min="7175" max="7175" width="20.28515625" style="1" bestFit="1" customWidth="1"/>
    <col min="7176" max="7176" width="9.140625" style="1"/>
    <col min="7177" max="7177" width="11.5703125" style="1" bestFit="1" customWidth="1"/>
    <col min="7178" max="7178" width="9.140625" style="1"/>
    <col min="7179" max="7179" width="10.7109375" style="1" bestFit="1" customWidth="1"/>
    <col min="7180" max="7180" width="9.140625" style="1"/>
    <col min="7181" max="7181" width="9.85546875" style="1" bestFit="1" customWidth="1"/>
    <col min="7182" max="7424" width="9.140625" style="1"/>
    <col min="7425" max="7425" width="18.28515625" style="1" bestFit="1" customWidth="1"/>
    <col min="7426" max="7426" width="17" style="1" bestFit="1" customWidth="1"/>
    <col min="7427" max="7427" width="19.140625" style="1" bestFit="1" customWidth="1"/>
    <col min="7428" max="7428" width="32" style="1" bestFit="1" customWidth="1"/>
    <col min="7429" max="7429" width="12.140625" style="1" customWidth="1"/>
    <col min="7430" max="7430" width="9.140625" style="1"/>
    <col min="7431" max="7431" width="20.28515625" style="1" bestFit="1" customWidth="1"/>
    <col min="7432" max="7432" width="9.140625" style="1"/>
    <col min="7433" max="7433" width="11.5703125" style="1" bestFit="1" customWidth="1"/>
    <col min="7434" max="7434" width="9.140625" style="1"/>
    <col min="7435" max="7435" width="10.7109375" style="1" bestFit="1" customWidth="1"/>
    <col min="7436" max="7436" width="9.140625" style="1"/>
    <col min="7437" max="7437" width="9.85546875" style="1" bestFit="1" customWidth="1"/>
    <col min="7438" max="7680" width="9.140625" style="1"/>
    <col min="7681" max="7681" width="18.28515625" style="1" bestFit="1" customWidth="1"/>
    <col min="7682" max="7682" width="17" style="1" bestFit="1" customWidth="1"/>
    <col min="7683" max="7683" width="19.140625" style="1" bestFit="1" customWidth="1"/>
    <col min="7684" max="7684" width="32" style="1" bestFit="1" customWidth="1"/>
    <col min="7685" max="7685" width="12.140625" style="1" customWidth="1"/>
    <col min="7686" max="7686" width="9.140625" style="1"/>
    <col min="7687" max="7687" width="20.28515625" style="1" bestFit="1" customWidth="1"/>
    <col min="7688" max="7688" width="9.140625" style="1"/>
    <col min="7689" max="7689" width="11.5703125" style="1" bestFit="1" customWidth="1"/>
    <col min="7690" max="7690" width="9.140625" style="1"/>
    <col min="7691" max="7691" width="10.7109375" style="1" bestFit="1" customWidth="1"/>
    <col min="7692" max="7692" width="9.140625" style="1"/>
    <col min="7693" max="7693" width="9.85546875" style="1" bestFit="1" customWidth="1"/>
    <col min="7694" max="7936" width="9.140625" style="1"/>
    <col min="7937" max="7937" width="18.28515625" style="1" bestFit="1" customWidth="1"/>
    <col min="7938" max="7938" width="17" style="1" bestFit="1" customWidth="1"/>
    <col min="7939" max="7939" width="19.140625" style="1" bestFit="1" customWidth="1"/>
    <col min="7940" max="7940" width="32" style="1" bestFit="1" customWidth="1"/>
    <col min="7941" max="7941" width="12.140625" style="1" customWidth="1"/>
    <col min="7942" max="7942" width="9.140625" style="1"/>
    <col min="7943" max="7943" width="20.28515625" style="1" bestFit="1" customWidth="1"/>
    <col min="7944" max="7944" width="9.140625" style="1"/>
    <col min="7945" max="7945" width="11.5703125" style="1" bestFit="1" customWidth="1"/>
    <col min="7946" max="7946" width="9.140625" style="1"/>
    <col min="7947" max="7947" width="10.7109375" style="1" bestFit="1" customWidth="1"/>
    <col min="7948" max="7948" width="9.140625" style="1"/>
    <col min="7949" max="7949" width="9.85546875" style="1" bestFit="1" customWidth="1"/>
    <col min="7950" max="8192" width="9.140625" style="1"/>
    <col min="8193" max="8193" width="18.28515625" style="1" bestFit="1" customWidth="1"/>
    <col min="8194" max="8194" width="17" style="1" bestFit="1" customWidth="1"/>
    <col min="8195" max="8195" width="19.140625" style="1" bestFit="1" customWidth="1"/>
    <col min="8196" max="8196" width="32" style="1" bestFit="1" customWidth="1"/>
    <col min="8197" max="8197" width="12.140625" style="1" customWidth="1"/>
    <col min="8198" max="8198" width="9.140625" style="1"/>
    <col min="8199" max="8199" width="20.28515625" style="1" bestFit="1" customWidth="1"/>
    <col min="8200" max="8200" width="9.140625" style="1"/>
    <col min="8201" max="8201" width="11.5703125" style="1" bestFit="1" customWidth="1"/>
    <col min="8202" max="8202" width="9.140625" style="1"/>
    <col min="8203" max="8203" width="10.7109375" style="1" bestFit="1" customWidth="1"/>
    <col min="8204" max="8204" width="9.140625" style="1"/>
    <col min="8205" max="8205" width="9.85546875" style="1" bestFit="1" customWidth="1"/>
    <col min="8206" max="8448" width="9.140625" style="1"/>
    <col min="8449" max="8449" width="18.28515625" style="1" bestFit="1" customWidth="1"/>
    <col min="8450" max="8450" width="17" style="1" bestFit="1" customWidth="1"/>
    <col min="8451" max="8451" width="19.140625" style="1" bestFit="1" customWidth="1"/>
    <col min="8452" max="8452" width="32" style="1" bestFit="1" customWidth="1"/>
    <col min="8453" max="8453" width="12.140625" style="1" customWidth="1"/>
    <col min="8454" max="8454" width="9.140625" style="1"/>
    <col min="8455" max="8455" width="20.28515625" style="1" bestFit="1" customWidth="1"/>
    <col min="8456" max="8456" width="9.140625" style="1"/>
    <col min="8457" max="8457" width="11.5703125" style="1" bestFit="1" customWidth="1"/>
    <col min="8458" max="8458" width="9.140625" style="1"/>
    <col min="8459" max="8459" width="10.7109375" style="1" bestFit="1" customWidth="1"/>
    <col min="8460" max="8460" width="9.140625" style="1"/>
    <col min="8461" max="8461" width="9.85546875" style="1" bestFit="1" customWidth="1"/>
    <col min="8462" max="8704" width="9.140625" style="1"/>
    <col min="8705" max="8705" width="18.28515625" style="1" bestFit="1" customWidth="1"/>
    <col min="8706" max="8706" width="17" style="1" bestFit="1" customWidth="1"/>
    <col min="8707" max="8707" width="19.140625" style="1" bestFit="1" customWidth="1"/>
    <col min="8708" max="8708" width="32" style="1" bestFit="1" customWidth="1"/>
    <col min="8709" max="8709" width="12.140625" style="1" customWidth="1"/>
    <col min="8710" max="8710" width="9.140625" style="1"/>
    <col min="8711" max="8711" width="20.28515625" style="1" bestFit="1" customWidth="1"/>
    <col min="8712" max="8712" width="9.140625" style="1"/>
    <col min="8713" max="8713" width="11.5703125" style="1" bestFit="1" customWidth="1"/>
    <col min="8714" max="8714" width="9.140625" style="1"/>
    <col min="8715" max="8715" width="10.7109375" style="1" bestFit="1" customWidth="1"/>
    <col min="8716" max="8716" width="9.140625" style="1"/>
    <col min="8717" max="8717" width="9.85546875" style="1" bestFit="1" customWidth="1"/>
    <col min="8718" max="8960" width="9.140625" style="1"/>
    <col min="8961" max="8961" width="18.28515625" style="1" bestFit="1" customWidth="1"/>
    <col min="8962" max="8962" width="17" style="1" bestFit="1" customWidth="1"/>
    <col min="8963" max="8963" width="19.140625" style="1" bestFit="1" customWidth="1"/>
    <col min="8964" max="8964" width="32" style="1" bestFit="1" customWidth="1"/>
    <col min="8965" max="8965" width="12.140625" style="1" customWidth="1"/>
    <col min="8966" max="8966" width="9.140625" style="1"/>
    <col min="8967" max="8967" width="20.28515625" style="1" bestFit="1" customWidth="1"/>
    <col min="8968" max="8968" width="9.140625" style="1"/>
    <col min="8969" max="8969" width="11.5703125" style="1" bestFit="1" customWidth="1"/>
    <col min="8970" max="8970" width="9.140625" style="1"/>
    <col min="8971" max="8971" width="10.7109375" style="1" bestFit="1" customWidth="1"/>
    <col min="8972" max="8972" width="9.140625" style="1"/>
    <col min="8973" max="8973" width="9.85546875" style="1" bestFit="1" customWidth="1"/>
    <col min="8974" max="9216" width="9.140625" style="1"/>
    <col min="9217" max="9217" width="18.28515625" style="1" bestFit="1" customWidth="1"/>
    <col min="9218" max="9218" width="17" style="1" bestFit="1" customWidth="1"/>
    <col min="9219" max="9219" width="19.140625" style="1" bestFit="1" customWidth="1"/>
    <col min="9220" max="9220" width="32" style="1" bestFit="1" customWidth="1"/>
    <col min="9221" max="9221" width="12.140625" style="1" customWidth="1"/>
    <col min="9222" max="9222" width="9.140625" style="1"/>
    <col min="9223" max="9223" width="20.28515625" style="1" bestFit="1" customWidth="1"/>
    <col min="9224" max="9224" width="9.140625" style="1"/>
    <col min="9225" max="9225" width="11.5703125" style="1" bestFit="1" customWidth="1"/>
    <col min="9226" max="9226" width="9.140625" style="1"/>
    <col min="9227" max="9227" width="10.7109375" style="1" bestFit="1" customWidth="1"/>
    <col min="9228" max="9228" width="9.140625" style="1"/>
    <col min="9229" max="9229" width="9.85546875" style="1" bestFit="1" customWidth="1"/>
    <col min="9230" max="9472" width="9.140625" style="1"/>
    <col min="9473" max="9473" width="18.28515625" style="1" bestFit="1" customWidth="1"/>
    <col min="9474" max="9474" width="17" style="1" bestFit="1" customWidth="1"/>
    <col min="9475" max="9475" width="19.140625" style="1" bestFit="1" customWidth="1"/>
    <col min="9476" max="9476" width="32" style="1" bestFit="1" customWidth="1"/>
    <col min="9477" max="9477" width="12.140625" style="1" customWidth="1"/>
    <col min="9478" max="9478" width="9.140625" style="1"/>
    <col min="9479" max="9479" width="20.28515625" style="1" bestFit="1" customWidth="1"/>
    <col min="9480" max="9480" width="9.140625" style="1"/>
    <col min="9481" max="9481" width="11.5703125" style="1" bestFit="1" customWidth="1"/>
    <col min="9482" max="9482" width="9.140625" style="1"/>
    <col min="9483" max="9483" width="10.7109375" style="1" bestFit="1" customWidth="1"/>
    <col min="9484" max="9484" width="9.140625" style="1"/>
    <col min="9485" max="9485" width="9.85546875" style="1" bestFit="1" customWidth="1"/>
    <col min="9486" max="9728" width="9.140625" style="1"/>
    <col min="9729" max="9729" width="18.28515625" style="1" bestFit="1" customWidth="1"/>
    <col min="9730" max="9730" width="17" style="1" bestFit="1" customWidth="1"/>
    <col min="9731" max="9731" width="19.140625" style="1" bestFit="1" customWidth="1"/>
    <col min="9732" max="9732" width="32" style="1" bestFit="1" customWidth="1"/>
    <col min="9733" max="9733" width="12.140625" style="1" customWidth="1"/>
    <col min="9734" max="9734" width="9.140625" style="1"/>
    <col min="9735" max="9735" width="20.28515625" style="1" bestFit="1" customWidth="1"/>
    <col min="9736" max="9736" width="9.140625" style="1"/>
    <col min="9737" max="9737" width="11.5703125" style="1" bestFit="1" customWidth="1"/>
    <col min="9738" max="9738" width="9.140625" style="1"/>
    <col min="9739" max="9739" width="10.7109375" style="1" bestFit="1" customWidth="1"/>
    <col min="9740" max="9740" width="9.140625" style="1"/>
    <col min="9741" max="9741" width="9.85546875" style="1" bestFit="1" customWidth="1"/>
    <col min="9742" max="9984" width="9.140625" style="1"/>
    <col min="9985" max="9985" width="18.28515625" style="1" bestFit="1" customWidth="1"/>
    <col min="9986" max="9986" width="17" style="1" bestFit="1" customWidth="1"/>
    <col min="9987" max="9987" width="19.140625" style="1" bestFit="1" customWidth="1"/>
    <col min="9988" max="9988" width="32" style="1" bestFit="1" customWidth="1"/>
    <col min="9989" max="9989" width="12.140625" style="1" customWidth="1"/>
    <col min="9990" max="9990" width="9.140625" style="1"/>
    <col min="9991" max="9991" width="20.28515625" style="1" bestFit="1" customWidth="1"/>
    <col min="9992" max="9992" width="9.140625" style="1"/>
    <col min="9993" max="9993" width="11.5703125" style="1" bestFit="1" customWidth="1"/>
    <col min="9994" max="9994" width="9.140625" style="1"/>
    <col min="9995" max="9995" width="10.7109375" style="1" bestFit="1" customWidth="1"/>
    <col min="9996" max="9996" width="9.140625" style="1"/>
    <col min="9997" max="9997" width="9.85546875" style="1" bestFit="1" customWidth="1"/>
    <col min="9998" max="10240" width="9.140625" style="1"/>
    <col min="10241" max="10241" width="18.28515625" style="1" bestFit="1" customWidth="1"/>
    <col min="10242" max="10242" width="17" style="1" bestFit="1" customWidth="1"/>
    <col min="10243" max="10243" width="19.140625" style="1" bestFit="1" customWidth="1"/>
    <col min="10244" max="10244" width="32" style="1" bestFit="1" customWidth="1"/>
    <col min="10245" max="10245" width="12.140625" style="1" customWidth="1"/>
    <col min="10246" max="10246" width="9.140625" style="1"/>
    <col min="10247" max="10247" width="20.28515625" style="1" bestFit="1" customWidth="1"/>
    <col min="10248" max="10248" width="9.140625" style="1"/>
    <col min="10249" max="10249" width="11.5703125" style="1" bestFit="1" customWidth="1"/>
    <col min="10250" max="10250" width="9.140625" style="1"/>
    <col min="10251" max="10251" width="10.7109375" style="1" bestFit="1" customWidth="1"/>
    <col min="10252" max="10252" width="9.140625" style="1"/>
    <col min="10253" max="10253" width="9.85546875" style="1" bestFit="1" customWidth="1"/>
    <col min="10254" max="10496" width="9.140625" style="1"/>
    <col min="10497" max="10497" width="18.28515625" style="1" bestFit="1" customWidth="1"/>
    <col min="10498" max="10498" width="17" style="1" bestFit="1" customWidth="1"/>
    <col min="10499" max="10499" width="19.140625" style="1" bestFit="1" customWidth="1"/>
    <col min="10500" max="10500" width="32" style="1" bestFit="1" customWidth="1"/>
    <col min="10501" max="10501" width="12.140625" style="1" customWidth="1"/>
    <col min="10502" max="10502" width="9.140625" style="1"/>
    <col min="10503" max="10503" width="20.28515625" style="1" bestFit="1" customWidth="1"/>
    <col min="10504" max="10504" width="9.140625" style="1"/>
    <col min="10505" max="10505" width="11.5703125" style="1" bestFit="1" customWidth="1"/>
    <col min="10506" max="10506" width="9.140625" style="1"/>
    <col min="10507" max="10507" width="10.7109375" style="1" bestFit="1" customWidth="1"/>
    <col min="10508" max="10508" width="9.140625" style="1"/>
    <col min="10509" max="10509" width="9.85546875" style="1" bestFit="1" customWidth="1"/>
    <col min="10510" max="10752" width="9.140625" style="1"/>
    <col min="10753" max="10753" width="18.28515625" style="1" bestFit="1" customWidth="1"/>
    <col min="10754" max="10754" width="17" style="1" bestFit="1" customWidth="1"/>
    <col min="10755" max="10755" width="19.140625" style="1" bestFit="1" customWidth="1"/>
    <col min="10756" max="10756" width="32" style="1" bestFit="1" customWidth="1"/>
    <col min="10757" max="10757" width="12.140625" style="1" customWidth="1"/>
    <col min="10758" max="10758" width="9.140625" style="1"/>
    <col min="10759" max="10759" width="20.28515625" style="1" bestFit="1" customWidth="1"/>
    <col min="10760" max="10760" width="9.140625" style="1"/>
    <col min="10761" max="10761" width="11.5703125" style="1" bestFit="1" customWidth="1"/>
    <col min="10762" max="10762" width="9.140625" style="1"/>
    <col min="10763" max="10763" width="10.7109375" style="1" bestFit="1" customWidth="1"/>
    <col min="10764" max="10764" width="9.140625" style="1"/>
    <col min="10765" max="10765" width="9.85546875" style="1" bestFit="1" customWidth="1"/>
    <col min="10766" max="11008" width="9.140625" style="1"/>
    <col min="11009" max="11009" width="18.28515625" style="1" bestFit="1" customWidth="1"/>
    <col min="11010" max="11010" width="17" style="1" bestFit="1" customWidth="1"/>
    <col min="11011" max="11011" width="19.140625" style="1" bestFit="1" customWidth="1"/>
    <col min="11012" max="11012" width="32" style="1" bestFit="1" customWidth="1"/>
    <col min="11013" max="11013" width="12.140625" style="1" customWidth="1"/>
    <col min="11014" max="11014" width="9.140625" style="1"/>
    <col min="11015" max="11015" width="20.28515625" style="1" bestFit="1" customWidth="1"/>
    <col min="11016" max="11016" width="9.140625" style="1"/>
    <col min="11017" max="11017" width="11.5703125" style="1" bestFit="1" customWidth="1"/>
    <col min="11018" max="11018" width="9.140625" style="1"/>
    <col min="11019" max="11019" width="10.7109375" style="1" bestFit="1" customWidth="1"/>
    <col min="11020" max="11020" width="9.140625" style="1"/>
    <col min="11021" max="11021" width="9.85546875" style="1" bestFit="1" customWidth="1"/>
    <col min="11022" max="11264" width="9.140625" style="1"/>
    <col min="11265" max="11265" width="18.28515625" style="1" bestFit="1" customWidth="1"/>
    <col min="11266" max="11266" width="17" style="1" bestFit="1" customWidth="1"/>
    <col min="11267" max="11267" width="19.140625" style="1" bestFit="1" customWidth="1"/>
    <col min="11268" max="11268" width="32" style="1" bestFit="1" customWidth="1"/>
    <col min="11269" max="11269" width="12.140625" style="1" customWidth="1"/>
    <col min="11270" max="11270" width="9.140625" style="1"/>
    <col min="11271" max="11271" width="20.28515625" style="1" bestFit="1" customWidth="1"/>
    <col min="11272" max="11272" width="9.140625" style="1"/>
    <col min="11273" max="11273" width="11.5703125" style="1" bestFit="1" customWidth="1"/>
    <col min="11274" max="11274" width="9.140625" style="1"/>
    <col min="11275" max="11275" width="10.7109375" style="1" bestFit="1" customWidth="1"/>
    <col min="11276" max="11276" width="9.140625" style="1"/>
    <col min="11277" max="11277" width="9.85546875" style="1" bestFit="1" customWidth="1"/>
    <col min="11278" max="11520" width="9.140625" style="1"/>
    <col min="11521" max="11521" width="18.28515625" style="1" bestFit="1" customWidth="1"/>
    <col min="11522" max="11522" width="17" style="1" bestFit="1" customWidth="1"/>
    <col min="11523" max="11523" width="19.140625" style="1" bestFit="1" customWidth="1"/>
    <col min="11524" max="11524" width="32" style="1" bestFit="1" customWidth="1"/>
    <col min="11525" max="11525" width="12.140625" style="1" customWidth="1"/>
    <col min="11526" max="11526" width="9.140625" style="1"/>
    <col min="11527" max="11527" width="20.28515625" style="1" bestFit="1" customWidth="1"/>
    <col min="11528" max="11528" width="9.140625" style="1"/>
    <col min="11529" max="11529" width="11.5703125" style="1" bestFit="1" customWidth="1"/>
    <col min="11530" max="11530" width="9.140625" style="1"/>
    <col min="11531" max="11531" width="10.7109375" style="1" bestFit="1" customWidth="1"/>
    <col min="11532" max="11532" width="9.140625" style="1"/>
    <col min="11533" max="11533" width="9.85546875" style="1" bestFit="1" customWidth="1"/>
    <col min="11534" max="11776" width="9.140625" style="1"/>
    <col min="11777" max="11777" width="18.28515625" style="1" bestFit="1" customWidth="1"/>
    <col min="11778" max="11778" width="17" style="1" bestFit="1" customWidth="1"/>
    <col min="11779" max="11779" width="19.140625" style="1" bestFit="1" customWidth="1"/>
    <col min="11780" max="11780" width="32" style="1" bestFit="1" customWidth="1"/>
    <col min="11781" max="11781" width="12.140625" style="1" customWidth="1"/>
    <col min="11782" max="11782" width="9.140625" style="1"/>
    <col min="11783" max="11783" width="20.28515625" style="1" bestFit="1" customWidth="1"/>
    <col min="11784" max="11784" width="9.140625" style="1"/>
    <col min="11785" max="11785" width="11.5703125" style="1" bestFit="1" customWidth="1"/>
    <col min="11786" max="11786" width="9.140625" style="1"/>
    <col min="11787" max="11787" width="10.7109375" style="1" bestFit="1" customWidth="1"/>
    <col min="11788" max="11788" width="9.140625" style="1"/>
    <col min="11789" max="11789" width="9.85546875" style="1" bestFit="1" customWidth="1"/>
    <col min="11790" max="12032" width="9.140625" style="1"/>
    <col min="12033" max="12033" width="18.28515625" style="1" bestFit="1" customWidth="1"/>
    <col min="12034" max="12034" width="17" style="1" bestFit="1" customWidth="1"/>
    <col min="12035" max="12035" width="19.140625" style="1" bestFit="1" customWidth="1"/>
    <col min="12036" max="12036" width="32" style="1" bestFit="1" customWidth="1"/>
    <col min="12037" max="12037" width="12.140625" style="1" customWidth="1"/>
    <col min="12038" max="12038" width="9.140625" style="1"/>
    <col min="12039" max="12039" width="20.28515625" style="1" bestFit="1" customWidth="1"/>
    <col min="12040" max="12040" width="9.140625" style="1"/>
    <col min="12041" max="12041" width="11.5703125" style="1" bestFit="1" customWidth="1"/>
    <col min="12042" max="12042" width="9.140625" style="1"/>
    <col min="12043" max="12043" width="10.7109375" style="1" bestFit="1" customWidth="1"/>
    <col min="12044" max="12044" width="9.140625" style="1"/>
    <col min="12045" max="12045" width="9.85546875" style="1" bestFit="1" customWidth="1"/>
    <col min="12046" max="12288" width="9.140625" style="1"/>
    <col min="12289" max="12289" width="18.28515625" style="1" bestFit="1" customWidth="1"/>
    <col min="12290" max="12290" width="17" style="1" bestFit="1" customWidth="1"/>
    <col min="12291" max="12291" width="19.140625" style="1" bestFit="1" customWidth="1"/>
    <col min="12292" max="12292" width="32" style="1" bestFit="1" customWidth="1"/>
    <col min="12293" max="12293" width="12.140625" style="1" customWidth="1"/>
    <col min="12294" max="12294" width="9.140625" style="1"/>
    <col min="12295" max="12295" width="20.28515625" style="1" bestFit="1" customWidth="1"/>
    <col min="12296" max="12296" width="9.140625" style="1"/>
    <col min="12297" max="12297" width="11.5703125" style="1" bestFit="1" customWidth="1"/>
    <col min="12298" max="12298" width="9.140625" style="1"/>
    <col min="12299" max="12299" width="10.7109375" style="1" bestFit="1" customWidth="1"/>
    <col min="12300" max="12300" width="9.140625" style="1"/>
    <col min="12301" max="12301" width="9.85546875" style="1" bestFit="1" customWidth="1"/>
    <col min="12302" max="12544" width="9.140625" style="1"/>
    <col min="12545" max="12545" width="18.28515625" style="1" bestFit="1" customWidth="1"/>
    <col min="12546" max="12546" width="17" style="1" bestFit="1" customWidth="1"/>
    <col min="12547" max="12547" width="19.140625" style="1" bestFit="1" customWidth="1"/>
    <col min="12548" max="12548" width="32" style="1" bestFit="1" customWidth="1"/>
    <col min="12549" max="12549" width="12.140625" style="1" customWidth="1"/>
    <col min="12550" max="12550" width="9.140625" style="1"/>
    <col min="12551" max="12551" width="20.28515625" style="1" bestFit="1" customWidth="1"/>
    <col min="12552" max="12552" width="9.140625" style="1"/>
    <col min="12553" max="12553" width="11.5703125" style="1" bestFit="1" customWidth="1"/>
    <col min="12554" max="12554" width="9.140625" style="1"/>
    <col min="12555" max="12555" width="10.7109375" style="1" bestFit="1" customWidth="1"/>
    <col min="12556" max="12556" width="9.140625" style="1"/>
    <col min="12557" max="12557" width="9.85546875" style="1" bestFit="1" customWidth="1"/>
    <col min="12558" max="12800" width="9.140625" style="1"/>
    <col min="12801" max="12801" width="18.28515625" style="1" bestFit="1" customWidth="1"/>
    <col min="12802" max="12802" width="17" style="1" bestFit="1" customWidth="1"/>
    <col min="12803" max="12803" width="19.140625" style="1" bestFit="1" customWidth="1"/>
    <col min="12804" max="12804" width="32" style="1" bestFit="1" customWidth="1"/>
    <col min="12805" max="12805" width="12.140625" style="1" customWidth="1"/>
    <col min="12806" max="12806" width="9.140625" style="1"/>
    <col min="12807" max="12807" width="20.28515625" style="1" bestFit="1" customWidth="1"/>
    <col min="12808" max="12808" width="9.140625" style="1"/>
    <col min="12809" max="12809" width="11.5703125" style="1" bestFit="1" customWidth="1"/>
    <col min="12810" max="12810" width="9.140625" style="1"/>
    <col min="12811" max="12811" width="10.7109375" style="1" bestFit="1" customWidth="1"/>
    <col min="12812" max="12812" width="9.140625" style="1"/>
    <col min="12813" max="12813" width="9.85546875" style="1" bestFit="1" customWidth="1"/>
    <col min="12814" max="13056" width="9.140625" style="1"/>
    <col min="13057" max="13057" width="18.28515625" style="1" bestFit="1" customWidth="1"/>
    <col min="13058" max="13058" width="17" style="1" bestFit="1" customWidth="1"/>
    <col min="13059" max="13059" width="19.140625" style="1" bestFit="1" customWidth="1"/>
    <col min="13060" max="13060" width="32" style="1" bestFit="1" customWidth="1"/>
    <col min="13061" max="13061" width="12.140625" style="1" customWidth="1"/>
    <col min="13062" max="13062" width="9.140625" style="1"/>
    <col min="13063" max="13063" width="20.28515625" style="1" bestFit="1" customWidth="1"/>
    <col min="13064" max="13064" width="9.140625" style="1"/>
    <col min="13065" max="13065" width="11.5703125" style="1" bestFit="1" customWidth="1"/>
    <col min="13066" max="13066" width="9.140625" style="1"/>
    <col min="13067" max="13067" width="10.7109375" style="1" bestFit="1" customWidth="1"/>
    <col min="13068" max="13068" width="9.140625" style="1"/>
    <col min="13069" max="13069" width="9.85546875" style="1" bestFit="1" customWidth="1"/>
    <col min="13070" max="13312" width="9.140625" style="1"/>
    <col min="13313" max="13313" width="18.28515625" style="1" bestFit="1" customWidth="1"/>
    <col min="13314" max="13314" width="17" style="1" bestFit="1" customWidth="1"/>
    <col min="13315" max="13315" width="19.140625" style="1" bestFit="1" customWidth="1"/>
    <col min="13316" max="13316" width="32" style="1" bestFit="1" customWidth="1"/>
    <col min="13317" max="13317" width="12.140625" style="1" customWidth="1"/>
    <col min="13318" max="13318" width="9.140625" style="1"/>
    <col min="13319" max="13319" width="20.28515625" style="1" bestFit="1" customWidth="1"/>
    <col min="13320" max="13320" width="9.140625" style="1"/>
    <col min="13321" max="13321" width="11.5703125" style="1" bestFit="1" customWidth="1"/>
    <col min="13322" max="13322" width="9.140625" style="1"/>
    <col min="13323" max="13323" width="10.7109375" style="1" bestFit="1" customWidth="1"/>
    <col min="13324" max="13324" width="9.140625" style="1"/>
    <col min="13325" max="13325" width="9.85546875" style="1" bestFit="1" customWidth="1"/>
    <col min="13326" max="13568" width="9.140625" style="1"/>
    <col min="13569" max="13569" width="18.28515625" style="1" bestFit="1" customWidth="1"/>
    <col min="13570" max="13570" width="17" style="1" bestFit="1" customWidth="1"/>
    <col min="13571" max="13571" width="19.140625" style="1" bestFit="1" customWidth="1"/>
    <col min="13572" max="13572" width="32" style="1" bestFit="1" customWidth="1"/>
    <col min="13573" max="13573" width="12.140625" style="1" customWidth="1"/>
    <col min="13574" max="13574" width="9.140625" style="1"/>
    <col min="13575" max="13575" width="20.28515625" style="1" bestFit="1" customWidth="1"/>
    <col min="13576" max="13576" width="9.140625" style="1"/>
    <col min="13577" max="13577" width="11.5703125" style="1" bestFit="1" customWidth="1"/>
    <col min="13578" max="13578" width="9.140625" style="1"/>
    <col min="13579" max="13579" width="10.7109375" style="1" bestFit="1" customWidth="1"/>
    <col min="13580" max="13580" width="9.140625" style="1"/>
    <col min="13581" max="13581" width="9.85546875" style="1" bestFit="1" customWidth="1"/>
    <col min="13582" max="13824" width="9.140625" style="1"/>
    <col min="13825" max="13825" width="18.28515625" style="1" bestFit="1" customWidth="1"/>
    <col min="13826" max="13826" width="17" style="1" bestFit="1" customWidth="1"/>
    <col min="13827" max="13827" width="19.140625" style="1" bestFit="1" customWidth="1"/>
    <col min="13828" max="13828" width="32" style="1" bestFit="1" customWidth="1"/>
    <col min="13829" max="13829" width="12.140625" style="1" customWidth="1"/>
    <col min="13830" max="13830" width="9.140625" style="1"/>
    <col min="13831" max="13831" width="20.28515625" style="1" bestFit="1" customWidth="1"/>
    <col min="13832" max="13832" width="9.140625" style="1"/>
    <col min="13833" max="13833" width="11.5703125" style="1" bestFit="1" customWidth="1"/>
    <col min="13834" max="13834" width="9.140625" style="1"/>
    <col min="13835" max="13835" width="10.7109375" style="1" bestFit="1" customWidth="1"/>
    <col min="13836" max="13836" width="9.140625" style="1"/>
    <col min="13837" max="13837" width="9.85546875" style="1" bestFit="1" customWidth="1"/>
    <col min="13838" max="14080" width="9.140625" style="1"/>
    <col min="14081" max="14081" width="18.28515625" style="1" bestFit="1" customWidth="1"/>
    <col min="14082" max="14082" width="17" style="1" bestFit="1" customWidth="1"/>
    <col min="14083" max="14083" width="19.140625" style="1" bestFit="1" customWidth="1"/>
    <col min="14084" max="14084" width="32" style="1" bestFit="1" customWidth="1"/>
    <col min="14085" max="14085" width="12.140625" style="1" customWidth="1"/>
    <col min="14086" max="14086" width="9.140625" style="1"/>
    <col min="14087" max="14087" width="20.28515625" style="1" bestFit="1" customWidth="1"/>
    <col min="14088" max="14088" width="9.140625" style="1"/>
    <col min="14089" max="14089" width="11.5703125" style="1" bestFit="1" customWidth="1"/>
    <col min="14090" max="14090" width="9.140625" style="1"/>
    <col min="14091" max="14091" width="10.7109375" style="1" bestFit="1" customWidth="1"/>
    <col min="14092" max="14092" width="9.140625" style="1"/>
    <col min="14093" max="14093" width="9.85546875" style="1" bestFit="1" customWidth="1"/>
    <col min="14094" max="14336" width="9.140625" style="1"/>
    <col min="14337" max="14337" width="18.28515625" style="1" bestFit="1" customWidth="1"/>
    <col min="14338" max="14338" width="17" style="1" bestFit="1" customWidth="1"/>
    <col min="14339" max="14339" width="19.140625" style="1" bestFit="1" customWidth="1"/>
    <col min="14340" max="14340" width="32" style="1" bestFit="1" customWidth="1"/>
    <col min="14341" max="14341" width="12.140625" style="1" customWidth="1"/>
    <col min="14342" max="14342" width="9.140625" style="1"/>
    <col min="14343" max="14343" width="20.28515625" style="1" bestFit="1" customWidth="1"/>
    <col min="14344" max="14344" width="9.140625" style="1"/>
    <col min="14345" max="14345" width="11.5703125" style="1" bestFit="1" customWidth="1"/>
    <col min="14346" max="14346" width="9.140625" style="1"/>
    <col min="14347" max="14347" width="10.7109375" style="1" bestFit="1" customWidth="1"/>
    <col min="14348" max="14348" width="9.140625" style="1"/>
    <col min="14349" max="14349" width="9.85546875" style="1" bestFit="1" customWidth="1"/>
    <col min="14350" max="14592" width="9.140625" style="1"/>
    <col min="14593" max="14593" width="18.28515625" style="1" bestFit="1" customWidth="1"/>
    <col min="14594" max="14594" width="17" style="1" bestFit="1" customWidth="1"/>
    <col min="14595" max="14595" width="19.140625" style="1" bestFit="1" customWidth="1"/>
    <col min="14596" max="14596" width="32" style="1" bestFit="1" customWidth="1"/>
    <col min="14597" max="14597" width="12.140625" style="1" customWidth="1"/>
    <col min="14598" max="14598" width="9.140625" style="1"/>
    <col min="14599" max="14599" width="20.28515625" style="1" bestFit="1" customWidth="1"/>
    <col min="14600" max="14600" width="9.140625" style="1"/>
    <col min="14601" max="14601" width="11.5703125" style="1" bestFit="1" customWidth="1"/>
    <col min="14602" max="14602" width="9.140625" style="1"/>
    <col min="14603" max="14603" width="10.7109375" style="1" bestFit="1" customWidth="1"/>
    <col min="14604" max="14604" width="9.140625" style="1"/>
    <col min="14605" max="14605" width="9.85546875" style="1" bestFit="1" customWidth="1"/>
    <col min="14606" max="14848" width="9.140625" style="1"/>
    <col min="14849" max="14849" width="18.28515625" style="1" bestFit="1" customWidth="1"/>
    <col min="14850" max="14850" width="17" style="1" bestFit="1" customWidth="1"/>
    <col min="14851" max="14851" width="19.140625" style="1" bestFit="1" customWidth="1"/>
    <col min="14852" max="14852" width="32" style="1" bestFit="1" customWidth="1"/>
    <col min="14853" max="14853" width="12.140625" style="1" customWidth="1"/>
    <col min="14854" max="14854" width="9.140625" style="1"/>
    <col min="14855" max="14855" width="20.28515625" style="1" bestFit="1" customWidth="1"/>
    <col min="14856" max="14856" width="9.140625" style="1"/>
    <col min="14857" max="14857" width="11.5703125" style="1" bestFit="1" customWidth="1"/>
    <col min="14858" max="14858" width="9.140625" style="1"/>
    <col min="14859" max="14859" width="10.7109375" style="1" bestFit="1" customWidth="1"/>
    <col min="14860" max="14860" width="9.140625" style="1"/>
    <col min="14861" max="14861" width="9.85546875" style="1" bestFit="1" customWidth="1"/>
    <col min="14862" max="15104" width="9.140625" style="1"/>
    <col min="15105" max="15105" width="18.28515625" style="1" bestFit="1" customWidth="1"/>
    <col min="15106" max="15106" width="17" style="1" bestFit="1" customWidth="1"/>
    <col min="15107" max="15107" width="19.140625" style="1" bestFit="1" customWidth="1"/>
    <col min="15108" max="15108" width="32" style="1" bestFit="1" customWidth="1"/>
    <col min="15109" max="15109" width="12.140625" style="1" customWidth="1"/>
    <col min="15110" max="15110" width="9.140625" style="1"/>
    <col min="15111" max="15111" width="20.28515625" style="1" bestFit="1" customWidth="1"/>
    <col min="15112" max="15112" width="9.140625" style="1"/>
    <col min="15113" max="15113" width="11.5703125" style="1" bestFit="1" customWidth="1"/>
    <col min="15114" max="15114" width="9.140625" style="1"/>
    <col min="15115" max="15115" width="10.7109375" style="1" bestFit="1" customWidth="1"/>
    <col min="15116" max="15116" width="9.140625" style="1"/>
    <col min="15117" max="15117" width="9.85546875" style="1" bestFit="1" customWidth="1"/>
    <col min="15118" max="15360" width="9.140625" style="1"/>
    <col min="15361" max="15361" width="18.28515625" style="1" bestFit="1" customWidth="1"/>
    <col min="15362" max="15362" width="17" style="1" bestFit="1" customWidth="1"/>
    <col min="15363" max="15363" width="19.140625" style="1" bestFit="1" customWidth="1"/>
    <col min="15364" max="15364" width="32" style="1" bestFit="1" customWidth="1"/>
    <col min="15365" max="15365" width="12.140625" style="1" customWidth="1"/>
    <col min="15366" max="15366" width="9.140625" style="1"/>
    <col min="15367" max="15367" width="20.28515625" style="1" bestFit="1" customWidth="1"/>
    <col min="15368" max="15368" width="9.140625" style="1"/>
    <col min="15369" max="15369" width="11.5703125" style="1" bestFit="1" customWidth="1"/>
    <col min="15370" max="15370" width="9.140625" style="1"/>
    <col min="15371" max="15371" width="10.7109375" style="1" bestFit="1" customWidth="1"/>
    <col min="15372" max="15372" width="9.140625" style="1"/>
    <col min="15373" max="15373" width="9.85546875" style="1" bestFit="1" customWidth="1"/>
    <col min="15374" max="15616" width="9.140625" style="1"/>
    <col min="15617" max="15617" width="18.28515625" style="1" bestFit="1" customWidth="1"/>
    <col min="15618" max="15618" width="17" style="1" bestFit="1" customWidth="1"/>
    <col min="15619" max="15619" width="19.140625" style="1" bestFit="1" customWidth="1"/>
    <col min="15620" max="15620" width="32" style="1" bestFit="1" customWidth="1"/>
    <col min="15621" max="15621" width="12.140625" style="1" customWidth="1"/>
    <col min="15622" max="15622" width="9.140625" style="1"/>
    <col min="15623" max="15623" width="20.28515625" style="1" bestFit="1" customWidth="1"/>
    <col min="15624" max="15624" width="9.140625" style="1"/>
    <col min="15625" max="15625" width="11.5703125" style="1" bestFit="1" customWidth="1"/>
    <col min="15626" max="15626" width="9.140625" style="1"/>
    <col min="15627" max="15627" width="10.7109375" style="1" bestFit="1" customWidth="1"/>
    <col min="15628" max="15628" width="9.140625" style="1"/>
    <col min="15629" max="15629" width="9.85546875" style="1" bestFit="1" customWidth="1"/>
    <col min="15630" max="15872" width="9.140625" style="1"/>
    <col min="15873" max="15873" width="18.28515625" style="1" bestFit="1" customWidth="1"/>
    <col min="15874" max="15874" width="17" style="1" bestFit="1" customWidth="1"/>
    <col min="15875" max="15875" width="19.140625" style="1" bestFit="1" customWidth="1"/>
    <col min="15876" max="15876" width="32" style="1" bestFit="1" customWidth="1"/>
    <col min="15877" max="15877" width="12.140625" style="1" customWidth="1"/>
    <col min="15878" max="15878" width="9.140625" style="1"/>
    <col min="15879" max="15879" width="20.28515625" style="1" bestFit="1" customWidth="1"/>
    <col min="15880" max="15880" width="9.140625" style="1"/>
    <col min="15881" max="15881" width="11.5703125" style="1" bestFit="1" customWidth="1"/>
    <col min="15882" max="15882" width="9.140625" style="1"/>
    <col min="15883" max="15883" width="10.7109375" style="1" bestFit="1" customWidth="1"/>
    <col min="15884" max="15884" width="9.140625" style="1"/>
    <col min="15885" max="15885" width="9.85546875" style="1" bestFit="1" customWidth="1"/>
    <col min="15886" max="16128" width="9.140625" style="1"/>
    <col min="16129" max="16129" width="18.28515625" style="1" bestFit="1" customWidth="1"/>
    <col min="16130" max="16130" width="17" style="1" bestFit="1" customWidth="1"/>
    <col min="16131" max="16131" width="19.140625" style="1" bestFit="1" customWidth="1"/>
    <col min="16132" max="16132" width="32" style="1" bestFit="1" customWidth="1"/>
    <col min="16133" max="16133" width="12.140625" style="1" customWidth="1"/>
    <col min="16134" max="16134" width="9.140625" style="1"/>
    <col min="16135" max="16135" width="20.28515625" style="1" bestFit="1" customWidth="1"/>
    <col min="16136" max="16136" width="9.140625" style="1"/>
    <col min="16137" max="16137" width="11.5703125" style="1" bestFit="1" customWidth="1"/>
    <col min="16138" max="16138" width="9.140625" style="1"/>
    <col min="16139" max="16139" width="10.7109375" style="1" bestFit="1" customWidth="1"/>
    <col min="16140" max="16140" width="9.140625" style="1"/>
    <col min="16141" max="16141" width="9.85546875" style="1" bestFit="1" customWidth="1"/>
    <col min="16142" max="16384" width="9.140625" style="1"/>
  </cols>
  <sheetData>
    <row r="2" spans="1:9">
      <c r="A2" s="129" t="s">
        <v>272</v>
      </c>
      <c r="B2" s="129" t="s">
        <v>273</v>
      </c>
    </row>
    <row r="5" spans="1:9">
      <c r="A5" s="239" t="s">
        <v>274</v>
      </c>
      <c r="B5" s="239" t="s">
        <v>275</v>
      </c>
      <c r="C5" s="239" t="s">
        <v>276</v>
      </c>
      <c r="D5" s="239" t="s">
        <v>2</v>
      </c>
      <c r="E5" s="239">
        <v>2013</v>
      </c>
      <c r="F5" s="239">
        <v>2014</v>
      </c>
      <c r="G5" s="239" t="s">
        <v>277</v>
      </c>
    </row>
    <row r="6" spans="1:9">
      <c r="A6" s="240" t="s">
        <v>278</v>
      </c>
      <c r="B6" s="241">
        <v>29463.42</v>
      </c>
      <c r="C6" s="242">
        <v>37996</v>
      </c>
      <c r="D6" s="243" t="s">
        <v>279</v>
      </c>
      <c r="E6" s="244">
        <f>2004-2013</f>
        <v>-9</v>
      </c>
      <c r="F6" s="245">
        <f>2004-2014</f>
        <v>-10</v>
      </c>
      <c r="G6" s="246">
        <f t="shared" ref="G6:G12" si="0">($B6*12)*3%</f>
        <v>10606.831199999999</v>
      </c>
    </row>
    <row r="7" spans="1:9">
      <c r="A7" s="247" t="s">
        <v>280</v>
      </c>
      <c r="B7" s="248">
        <v>17888.84</v>
      </c>
      <c r="C7" s="242">
        <v>37996</v>
      </c>
      <c r="D7" s="243" t="s">
        <v>281</v>
      </c>
      <c r="E7" s="244">
        <f>2004-2013</f>
        <v>-9</v>
      </c>
      <c r="F7" s="245">
        <f>2004-2014</f>
        <v>-10</v>
      </c>
      <c r="G7" s="246">
        <f t="shared" si="0"/>
        <v>6439.9823999999999</v>
      </c>
    </row>
    <row r="8" spans="1:9">
      <c r="A8" s="249" t="s">
        <v>282</v>
      </c>
      <c r="B8" s="250">
        <v>16936.97</v>
      </c>
      <c r="C8" s="251">
        <v>37622</v>
      </c>
      <c r="D8" s="243" t="s">
        <v>279</v>
      </c>
      <c r="E8" s="249">
        <f>2003-2013</f>
        <v>-10</v>
      </c>
      <c r="F8" s="249">
        <f>2003-2014</f>
        <v>-11</v>
      </c>
      <c r="G8" s="252">
        <f t="shared" si="0"/>
        <v>6097.3092000000006</v>
      </c>
      <c r="I8" s="1" t="s">
        <v>283</v>
      </c>
    </row>
    <row r="9" spans="1:9">
      <c r="A9" s="253" t="s">
        <v>284</v>
      </c>
      <c r="B9" s="254">
        <v>11352.7</v>
      </c>
      <c r="C9" s="251">
        <v>37622</v>
      </c>
      <c r="D9" s="243" t="s">
        <v>281</v>
      </c>
      <c r="E9" s="249">
        <f>2003-2013</f>
        <v>-10</v>
      </c>
      <c r="F9" s="249">
        <f>2003-2014</f>
        <v>-11</v>
      </c>
      <c r="G9" s="252">
        <f t="shared" si="0"/>
        <v>4086.9720000000007</v>
      </c>
      <c r="I9" s="1" t="s">
        <v>283</v>
      </c>
    </row>
    <row r="10" spans="1:9">
      <c r="A10" s="249" t="s">
        <v>285</v>
      </c>
      <c r="B10" s="250">
        <v>21280.81</v>
      </c>
      <c r="C10" s="251">
        <v>39518</v>
      </c>
      <c r="D10" s="243" t="s">
        <v>105</v>
      </c>
      <c r="E10" s="249">
        <f>2008-2013</f>
        <v>-5</v>
      </c>
      <c r="F10" s="249">
        <f>2008-2014</f>
        <v>-6</v>
      </c>
      <c r="G10" s="252">
        <f t="shared" si="0"/>
        <v>7661.0916000000007</v>
      </c>
      <c r="I10" s="1" t="s">
        <v>286</v>
      </c>
    </row>
    <row r="11" spans="1:9">
      <c r="A11" s="240" t="s">
        <v>287</v>
      </c>
      <c r="B11" s="241">
        <v>11120.47</v>
      </c>
      <c r="C11" s="242">
        <v>37895</v>
      </c>
      <c r="D11" s="243" t="s">
        <v>105</v>
      </c>
      <c r="E11" s="245">
        <f>2003-2013</f>
        <v>-10</v>
      </c>
      <c r="F11" s="244">
        <f>2003-2014</f>
        <v>-11</v>
      </c>
      <c r="G11" s="246">
        <f t="shared" si="0"/>
        <v>4003.3691999999992</v>
      </c>
    </row>
    <row r="12" spans="1:9">
      <c r="A12" s="240" t="s">
        <v>288</v>
      </c>
      <c r="B12" s="241">
        <v>6715.12</v>
      </c>
      <c r="C12" s="242">
        <v>37895</v>
      </c>
      <c r="D12" s="243" t="s">
        <v>279</v>
      </c>
      <c r="E12" s="245">
        <f>2003-2013</f>
        <v>-10</v>
      </c>
      <c r="F12" s="244">
        <f>2003-2014</f>
        <v>-11</v>
      </c>
      <c r="G12" s="246">
        <f t="shared" si="0"/>
        <v>2417.4432000000002</v>
      </c>
    </row>
    <row r="13" spans="1:9">
      <c r="A13" s="70"/>
      <c r="B13" s="70"/>
      <c r="C13" s="70"/>
      <c r="D13" s="70"/>
      <c r="E13" s="70"/>
      <c r="F13" s="70"/>
      <c r="G13" s="246">
        <f>SUM(G6:G12)</f>
        <v>41312.998800000001</v>
      </c>
    </row>
    <row r="14" spans="1:9">
      <c r="A14" s="98"/>
      <c r="B14" s="255" t="s">
        <v>289</v>
      </c>
    </row>
    <row r="15" spans="1:9">
      <c r="A15" s="96"/>
      <c r="B15" s="255" t="s">
        <v>290</v>
      </c>
      <c r="D15" s="243" t="s">
        <v>279</v>
      </c>
      <c r="G15" s="256">
        <f>G6+G12</f>
        <v>13024.274399999998</v>
      </c>
    </row>
    <row r="16" spans="1:9">
      <c r="D16" s="243" t="s">
        <v>281</v>
      </c>
      <c r="G16" s="256">
        <f>G7</f>
        <v>6439.9823999999999</v>
      </c>
    </row>
    <row r="17" spans="4:7">
      <c r="D17" s="243" t="s">
        <v>105</v>
      </c>
      <c r="G17" s="256">
        <f>G11</f>
        <v>4003.3691999999992</v>
      </c>
    </row>
    <row r="19" spans="4:7" ht="15.75" thickBot="1">
      <c r="G19" s="257">
        <f>SUM(G15:G18)</f>
        <v>23467.625999999997</v>
      </c>
    </row>
    <row r="20" spans="4:7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pane xSplit="1" topLeftCell="B1" activePane="topRight" state="frozen"/>
      <selection activeCell="C321" sqref="C321"/>
      <selection pane="topRight" activeCell="J15" sqref="J15"/>
    </sheetView>
  </sheetViews>
  <sheetFormatPr defaultRowHeight="15"/>
  <cols>
    <col min="1" max="1" width="43.28515625" customWidth="1"/>
    <col min="2" max="2" width="17.7109375" style="339" customWidth="1"/>
    <col min="3" max="3" width="16.5703125" customWidth="1"/>
    <col min="4" max="5" width="13.42578125" customWidth="1"/>
    <col min="6" max="6" width="12.85546875" customWidth="1"/>
    <col min="7" max="7" width="12.28515625" customWidth="1"/>
    <col min="8" max="8" width="12.28515625" style="1" customWidth="1"/>
    <col min="10" max="10" width="9.85546875" bestFit="1" customWidth="1"/>
  </cols>
  <sheetData>
    <row r="1" spans="1:9" ht="27" thickBot="1">
      <c r="A1" s="13" t="s">
        <v>69</v>
      </c>
      <c r="B1" s="14" t="s">
        <v>1</v>
      </c>
      <c r="C1" s="14" t="s">
        <v>40</v>
      </c>
      <c r="D1" s="14" t="s">
        <v>41</v>
      </c>
      <c r="E1" s="54" t="s">
        <v>42</v>
      </c>
      <c r="F1" s="54" t="s">
        <v>43</v>
      </c>
      <c r="G1" s="54" t="s">
        <v>360</v>
      </c>
      <c r="H1" s="54" t="s">
        <v>361</v>
      </c>
      <c r="I1" s="1"/>
    </row>
    <row r="2" spans="1:9">
      <c r="A2" s="7"/>
      <c r="B2" s="15"/>
      <c r="C2" s="15"/>
      <c r="D2" s="15"/>
      <c r="E2" s="51"/>
      <c r="F2" s="51"/>
      <c r="G2" s="51"/>
      <c r="H2" s="51"/>
      <c r="I2" s="1"/>
    </row>
    <row r="3" spans="1:9">
      <c r="A3" s="16" t="s">
        <v>70</v>
      </c>
      <c r="B3" s="15"/>
      <c r="C3" s="7"/>
      <c r="D3" s="7"/>
      <c r="E3" s="52"/>
      <c r="F3" s="52"/>
      <c r="G3" s="52"/>
      <c r="H3" s="52"/>
      <c r="I3" s="1"/>
    </row>
    <row r="4" spans="1:9">
      <c r="A4" s="17" t="s">
        <v>71</v>
      </c>
      <c r="B4" s="340"/>
      <c r="C4" s="32"/>
      <c r="D4" s="32"/>
      <c r="E4" s="33"/>
      <c r="F4" s="55">
        <v>3800</v>
      </c>
      <c r="G4" s="53">
        <f>SUM(B4:F4)</f>
        <v>3800</v>
      </c>
      <c r="H4" s="53">
        <f>G4</f>
        <v>3800</v>
      </c>
      <c r="I4" s="1"/>
    </row>
    <row r="5" spans="1:9">
      <c r="A5" s="30" t="s">
        <v>72</v>
      </c>
      <c r="B5" s="340"/>
      <c r="C5" s="32"/>
      <c r="D5" s="32"/>
      <c r="E5" s="33"/>
      <c r="F5" s="55">
        <v>100000</v>
      </c>
      <c r="G5" s="53">
        <f>SUM(B5:F5)</f>
        <v>100000</v>
      </c>
      <c r="H5" s="53">
        <f>G5</f>
        <v>100000</v>
      </c>
      <c r="I5" s="1"/>
    </row>
    <row r="6" spans="1:9" s="1" customFormat="1">
      <c r="A6" s="30" t="s">
        <v>94</v>
      </c>
      <c r="B6" s="340"/>
      <c r="C6" s="32"/>
      <c r="D6" s="32"/>
      <c r="E6" s="33"/>
      <c r="F6" s="32">
        <v>8403.51</v>
      </c>
      <c r="G6" s="53">
        <f>SUM(B6:F6)</f>
        <v>8403.51</v>
      </c>
      <c r="H6" s="53">
        <f>G6</f>
        <v>8403.51</v>
      </c>
    </row>
    <row r="7" spans="1:9" s="1" customFormat="1" ht="15.75" thickBot="1">
      <c r="A7" s="19" t="s">
        <v>104</v>
      </c>
      <c r="B7" s="341"/>
      <c r="C7" s="28"/>
      <c r="D7" s="28"/>
      <c r="E7" s="29"/>
      <c r="F7" s="28">
        <v>3602.94</v>
      </c>
      <c r="G7" s="53">
        <f>SUM(B7:F7)</f>
        <v>3602.94</v>
      </c>
      <c r="H7" s="53">
        <f>G7</f>
        <v>3602.94</v>
      </c>
    </row>
    <row r="8" spans="1:9" ht="15.75" thickBot="1">
      <c r="A8" s="20" t="s">
        <v>73</v>
      </c>
      <c r="B8" s="340">
        <f t="shared" ref="B8:H8" si="0">SUM(B4:B7)</f>
        <v>0</v>
      </c>
      <c r="C8" s="340">
        <f t="shared" si="0"/>
        <v>0</v>
      </c>
      <c r="D8" s="340">
        <f t="shared" si="0"/>
        <v>0</v>
      </c>
      <c r="E8" s="340">
        <f t="shared" si="0"/>
        <v>0</v>
      </c>
      <c r="F8" s="340">
        <f t="shared" si="0"/>
        <v>115806.45</v>
      </c>
      <c r="G8" s="21">
        <f t="shared" si="0"/>
        <v>115806.45</v>
      </c>
      <c r="H8" s="21">
        <f t="shared" si="0"/>
        <v>115806.45</v>
      </c>
      <c r="I8" s="1"/>
    </row>
    <row r="9" spans="1:9">
      <c r="A9" s="22"/>
      <c r="B9" s="342"/>
      <c r="C9" s="21"/>
      <c r="D9" s="21"/>
      <c r="E9" s="21"/>
      <c r="F9" s="21"/>
      <c r="G9" s="21"/>
      <c r="H9" s="21"/>
      <c r="I9" s="1"/>
    </row>
    <row r="10" spans="1:9">
      <c r="A10" s="23" t="s">
        <v>74</v>
      </c>
      <c r="B10" s="15"/>
      <c r="C10" s="7"/>
      <c r="D10" s="7"/>
      <c r="E10" s="7"/>
      <c r="F10" s="7"/>
      <c r="G10" s="24"/>
      <c r="H10" s="24"/>
      <c r="I10" s="1"/>
    </row>
    <row r="11" spans="1:9">
      <c r="A11" s="30" t="s">
        <v>356</v>
      </c>
      <c r="B11" s="340"/>
      <c r="C11" s="32"/>
      <c r="D11" s="32">
        <v>438565.88</v>
      </c>
      <c r="E11" s="33"/>
      <c r="F11" s="32"/>
      <c r="G11" s="32">
        <f>SUM(B11:F11)</f>
        <v>438565.88</v>
      </c>
      <c r="H11" s="32">
        <f>G11</f>
        <v>438565.88</v>
      </c>
      <c r="I11" s="1"/>
    </row>
    <row r="12" spans="1:9" s="1" customFormat="1" ht="15.75" thickBot="1">
      <c r="A12" s="19" t="s">
        <v>357</v>
      </c>
      <c r="B12" s="341"/>
      <c r="C12" s="28"/>
      <c r="D12" s="28">
        <v>30000</v>
      </c>
      <c r="E12" s="29"/>
      <c r="F12" s="28"/>
      <c r="G12" s="32">
        <f>SUM(B12:F12)</f>
        <v>30000</v>
      </c>
      <c r="H12" s="32">
        <f>G12</f>
        <v>30000</v>
      </c>
    </row>
    <row r="13" spans="1:9" ht="15.75" thickBot="1">
      <c r="A13" s="20" t="s">
        <v>73</v>
      </c>
      <c r="B13" s="340">
        <f>B11</f>
        <v>0</v>
      </c>
      <c r="C13" s="340">
        <f>C11</f>
        <v>0</v>
      </c>
      <c r="D13" s="340">
        <f>D11+D12</f>
        <v>468565.88</v>
      </c>
      <c r="E13" s="340">
        <f>E11</f>
        <v>0</v>
      </c>
      <c r="F13" s="340">
        <f>F11</f>
        <v>0</v>
      </c>
      <c r="G13" s="378">
        <f>G11+G12</f>
        <v>468565.88</v>
      </c>
      <c r="H13" s="378">
        <f>H11+H12</f>
        <v>468565.88</v>
      </c>
      <c r="I13" s="1"/>
    </row>
    <row r="14" spans="1:9">
      <c r="A14" s="22"/>
      <c r="B14" s="343"/>
      <c r="C14" s="26"/>
      <c r="D14" s="21"/>
      <c r="E14" s="26"/>
      <c r="F14" s="26"/>
      <c r="G14" s="21"/>
      <c r="H14" s="21"/>
      <c r="I14" s="1"/>
    </row>
    <row r="15" spans="1:9" s="1" customFormat="1">
      <c r="A15" s="27" t="s">
        <v>75</v>
      </c>
      <c r="B15" s="343"/>
      <c r="C15" s="26"/>
      <c r="D15" s="21"/>
      <c r="E15" s="26"/>
      <c r="F15" s="26"/>
      <c r="G15" s="21"/>
      <c r="H15" s="21"/>
    </row>
    <row r="16" spans="1:9">
      <c r="A16" s="22" t="s">
        <v>410</v>
      </c>
      <c r="B16" s="340">
        <v>570000</v>
      </c>
      <c r="C16" s="7"/>
      <c r="D16" s="7"/>
      <c r="E16" s="7"/>
      <c r="F16" s="7"/>
      <c r="G16" s="24"/>
      <c r="H16" s="31">
        <f>B16</f>
        <v>570000</v>
      </c>
      <c r="I16" s="1"/>
    </row>
    <row r="17" spans="1:10" s="46" customFormat="1">
      <c r="A17" s="30" t="s">
        <v>76</v>
      </c>
      <c r="B17" s="340"/>
      <c r="C17" s="32"/>
      <c r="D17" s="32">
        <v>46497.599999999999</v>
      </c>
      <c r="E17" s="33"/>
      <c r="F17" s="32"/>
      <c r="G17" s="31">
        <f>SUM(B17:F17)</f>
        <v>46497.599999999999</v>
      </c>
      <c r="H17" s="31">
        <f>G17</f>
        <v>46497.599999999999</v>
      </c>
      <c r="J17" s="127"/>
    </row>
    <row r="18" spans="1:10" ht="15.75" thickBot="1">
      <c r="A18" s="19" t="s">
        <v>77</v>
      </c>
      <c r="B18" s="406"/>
      <c r="C18" s="28"/>
      <c r="D18" s="28"/>
      <c r="E18" s="28"/>
      <c r="F18" s="25">
        <v>12500</v>
      </c>
      <c r="G18" s="31">
        <f>SUM(B18:F18)</f>
        <v>12500</v>
      </c>
      <c r="H18" s="31">
        <f>G18</f>
        <v>12500</v>
      </c>
      <c r="I18" s="1"/>
    </row>
    <row r="19" spans="1:10" ht="15.75" thickBot="1">
      <c r="A19" s="20" t="s">
        <v>73</v>
      </c>
      <c r="B19" s="344">
        <f>SUM(B16:B18)</f>
        <v>570000</v>
      </c>
      <c r="C19" s="344">
        <f>SUM(C17:C18)</f>
        <v>0</v>
      </c>
      <c r="D19" s="344">
        <f>SUM(D17:D18)</f>
        <v>46497.599999999999</v>
      </c>
      <c r="E19" s="344">
        <f>SUM(E17:E18)</f>
        <v>0</v>
      </c>
      <c r="F19" s="344">
        <f>SUM(F17:F18)</f>
        <v>12500</v>
      </c>
      <c r="G19" s="344">
        <f>SUM(G17:G18)</f>
        <v>58997.599999999999</v>
      </c>
      <c r="H19" s="344">
        <f>SUM(H16:H18)</f>
        <v>628997.6</v>
      </c>
      <c r="I19" s="1"/>
    </row>
    <row r="20" spans="1:10">
      <c r="A20" s="7"/>
      <c r="B20" s="15"/>
      <c r="C20" s="7"/>
      <c r="D20" s="7"/>
      <c r="E20" s="7"/>
      <c r="F20" s="7"/>
      <c r="G20" s="24"/>
      <c r="H20" s="24"/>
      <c r="I20" s="1"/>
    </row>
    <row r="21" spans="1:10">
      <c r="A21" s="27" t="s">
        <v>329</v>
      </c>
      <c r="B21" s="15"/>
      <c r="C21" s="7"/>
      <c r="D21" s="7"/>
      <c r="E21" s="7"/>
      <c r="F21" s="7"/>
      <c r="G21" s="24"/>
      <c r="H21" s="24"/>
      <c r="I21" s="1"/>
    </row>
    <row r="22" spans="1:10">
      <c r="A22" s="17" t="s">
        <v>78</v>
      </c>
      <c r="B22" s="346">
        <f>'INCOME SPLIT'!E6</f>
        <v>3947044.2477876106</v>
      </c>
      <c r="C22" s="18">
        <f>'INCOME SPLIT'!E7</f>
        <v>2960283.1858407077</v>
      </c>
      <c r="D22" s="18">
        <f>'INCOME SPLIT'!E8</f>
        <v>10360991.150442479</v>
      </c>
      <c r="E22" s="18">
        <f>'INCOME SPLIT'!E9</f>
        <v>4193734.5132743367</v>
      </c>
      <c r="F22" s="18">
        <f>'INCOME SPLIT'!E10</f>
        <v>6413946.9026548676</v>
      </c>
      <c r="G22" s="18">
        <f>SUM(B22:F22)</f>
        <v>27876000.000000004</v>
      </c>
      <c r="H22" s="18">
        <f>G22</f>
        <v>27876000.000000004</v>
      </c>
      <c r="I22" s="1"/>
    </row>
    <row r="23" spans="1:10">
      <c r="A23" s="17" t="s">
        <v>408</v>
      </c>
      <c r="B23" s="347"/>
      <c r="C23" s="45"/>
      <c r="D23" s="45"/>
      <c r="E23" s="45"/>
      <c r="F23" s="18">
        <v>1250000</v>
      </c>
      <c r="G23" s="18">
        <f>SUM(B23:F23)</f>
        <v>1250000</v>
      </c>
      <c r="H23" s="18">
        <f>G23</f>
        <v>1250000</v>
      </c>
      <c r="I23" s="1"/>
    </row>
    <row r="24" spans="1:10">
      <c r="A24" s="17" t="s">
        <v>62</v>
      </c>
      <c r="B24" s="345">
        <v>233500</v>
      </c>
      <c r="C24" s="31">
        <v>233500</v>
      </c>
      <c r="D24" s="31">
        <v>233500</v>
      </c>
      <c r="E24" s="45">
        <v>0</v>
      </c>
      <c r="F24" s="31">
        <v>233500</v>
      </c>
      <c r="G24" s="18">
        <f>SUM(B24:F24)</f>
        <v>934000</v>
      </c>
      <c r="H24" s="18">
        <f>G24</f>
        <v>934000</v>
      </c>
      <c r="I24" s="1"/>
    </row>
    <row r="25" spans="1:10" s="1" customFormat="1">
      <c r="A25" s="17" t="s">
        <v>91</v>
      </c>
      <c r="B25" s="347">
        <v>0</v>
      </c>
      <c r="C25" s="45">
        <v>0</v>
      </c>
      <c r="D25" s="45">
        <v>0</v>
      </c>
      <c r="E25" s="49">
        <v>1080000</v>
      </c>
      <c r="F25" s="45">
        <v>0</v>
      </c>
      <c r="G25" s="18">
        <f>SUM(B25:F25)</f>
        <v>1080000</v>
      </c>
      <c r="H25" s="18">
        <f>G25</f>
        <v>1080000</v>
      </c>
    </row>
    <row r="26" spans="1:10">
      <c r="A26" s="30" t="s">
        <v>79</v>
      </c>
      <c r="B26" s="345">
        <f>'INCOME SPLIT'!E16</f>
        <v>4247787.6106194686</v>
      </c>
      <c r="C26" s="31">
        <f>'INCOME SPLIT'!E17</f>
        <v>3185840.7079646019</v>
      </c>
      <c r="D26" s="31">
        <f>'INCOME SPLIT'!E18</f>
        <v>11150442.477876106</v>
      </c>
      <c r="E26" s="31">
        <f>'INCOME SPLIT'!E19</f>
        <v>4513274.3362831865</v>
      </c>
      <c r="F26" s="31">
        <f>'INCOME SPLIT'!E20</f>
        <v>6902654.8672566367</v>
      </c>
      <c r="G26" s="18">
        <v>16500000</v>
      </c>
      <c r="H26" s="18">
        <v>30000000</v>
      </c>
      <c r="I26" s="1"/>
    </row>
    <row r="27" spans="1:10" s="1" customFormat="1" ht="15.75" thickBot="1">
      <c r="A27" s="22" t="s">
        <v>328</v>
      </c>
      <c r="B27" s="348"/>
      <c r="C27" s="50"/>
      <c r="D27" s="50"/>
      <c r="E27" s="50">
        <v>1852000</v>
      </c>
      <c r="F27" s="50"/>
      <c r="G27" s="18">
        <f>SUM(B27:F27)</f>
        <v>1852000</v>
      </c>
      <c r="H27" s="18">
        <f>G27</f>
        <v>1852000</v>
      </c>
    </row>
    <row r="28" spans="1:10" ht="15.75" thickBot="1">
      <c r="A28" s="56" t="s">
        <v>73</v>
      </c>
      <c r="B28" s="342">
        <f t="shared" ref="B28:G28" si="1">SUM(B22:B27)</f>
        <v>8428331.8584070802</v>
      </c>
      <c r="C28" s="21">
        <f t="shared" si="1"/>
        <v>6379623.8938053101</v>
      </c>
      <c r="D28" s="21">
        <f t="shared" si="1"/>
        <v>21744933.628318585</v>
      </c>
      <c r="E28" s="21">
        <f t="shared" si="1"/>
        <v>11639008.849557523</v>
      </c>
      <c r="F28" s="21">
        <f t="shared" si="1"/>
        <v>14800101.769911505</v>
      </c>
      <c r="G28" s="21">
        <f t="shared" si="1"/>
        <v>49492000</v>
      </c>
      <c r="H28" s="21">
        <f>SUM(H22:H27)</f>
        <v>62992000</v>
      </c>
      <c r="I28" s="1"/>
    </row>
    <row r="29" spans="1:10" ht="15.75" thickBot="1">
      <c r="A29" s="19"/>
      <c r="B29" s="349"/>
      <c r="C29" s="34"/>
      <c r="D29" s="34"/>
      <c r="E29" s="34"/>
      <c r="F29" s="34"/>
      <c r="G29" s="34"/>
      <c r="H29" s="34"/>
      <c r="I29" s="1"/>
    </row>
    <row r="30" spans="1:10" ht="15.75" thickBot="1">
      <c r="A30" s="35" t="s">
        <v>80</v>
      </c>
      <c r="B30" s="350">
        <f>B8+B13+B19+B28</f>
        <v>8998331.8584070802</v>
      </c>
      <c r="C30" s="350">
        <f>C8+C13+C19+C28</f>
        <v>6379623.8938053101</v>
      </c>
      <c r="D30" s="350">
        <f>D8+D13+D19+D28</f>
        <v>22259997.108318586</v>
      </c>
      <c r="E30" s="350">
        <f>E8+E13+E19+E28</f>
        <v>11639008.849557523</v>
      </c>
      <c r="F30" s="350">
        <f>F8+F13+F19+F28</f>
        <v>14928408.219911505</v>
      </c>
      <c r="G30" s="350">
        <f>G8+G13+G19+G28</f>
        <v>50135369.93</v>
      </c>
      <c r="H30" s="350">
        <f>H8+H13+H19+H28</f>
        <v>64205369.93</v>
      </c>
      <c r="I30" s="1"/>
    </row>
    <row r="31" spans="1:10">
      <c r="A31" s="1"/>
      <c r="C31" s="1"/>
      <c r="D31" s="1"/>
      <c r="E31" s="1"/>
      <c r="F31" s="1"/>
      <c r="G31" s="1"/>
      <c r="I31" s="1"/>
    </row>
    <row r="32" spans="1:10">
      <c r="A32" s="2"/>
      <c r="B32" s="351"/>
      <c r="C32" s="47"/>
      <c r="D32" s="46"/>
    </row>
    <row r="33" spans="2:6">
      <c r="B33" s="351"/>
      <c r="C33" s="47"/>
      <c r="D33" s="46"/>
      <c r="F33" s="42"/>
    </row>
    <row r="34" spans="2:6">
      <c r="B34" s="351"/>
      <c r="C34" s="47"/>
      <c r="D34" s="46"/>
    </row>
    <row r="35" spans="2:6">
      <c r="B35" s="351"/>
      <c r="C35" s="47"/>
      <c r="D35" s="46"/>
    </row>
    <row r="36" spans="2:6">
      <c r="B36" s="351"/>
      <c r="C36" s="48"/>
      <c r="D36" s="46"/>
      <c r="E36" s="44"/>
    </row>
    <row r="37" spans="2:6">
      <c r="B37" s="126"/>
      <c r="C37" s="46"/>
      <c r="D37" s="46"/>
    </row>
    <row r="38" spans="2:6">
      <c r="E38" s="36"/>
    </row>
    <row r="39" spans="2:6">
      <c r="C39" s="43"/>
    </row>
    <row r="40" spans="2:6">
      <c r="C40" s="43"/>
      <c r="D40" s="5"/>
    </row>
    <row r="41" spans="2:6">
      <c r="C41" s="4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1" zoomScaleNormal="81" workbookViewId="0">
      <pane xSplit="1" ySplit="3" topLeftCell="B98" activePane="bottomRight" state="frozen"/>
      <selection pane="topRight" activeCell="B1" sqref="B1"/>
      <selection pane="bottomLeft" activeCell="A6" sqref="A6"/>
      <selection pane="bottomRight" activeCell="P117" sqref="P117"/>
    </sheetView>
  </sheetViews>
  <sheetFormatPr defaultRowHeight="15"/>
  <cols>
    <col min="1" max="1" width="34.140625" customWidth="1"/>
    <col min="2" max="2" width="15.85546875" style="6" customWidth="1"/>
    <col min="3" max="3" width="18.28515625" style="261" bestFit="1" customWidth="1"/>
    <col min="4" max="4" width="16.5703125" style="261" customWidth="1"/>
    <col min="5" max="5" width="16" style="261" customWidth="1"/>
    <col min="6" max="6" width="15.42578125" style="261" customWidth="1"/>
    <col min="7" max="7" width="19.7109375" style="6" bestFit="1" customWidth="1"/>
    <col min="8" max="8" width="31.5703125" hidden="1" customWidth="1"/>
    <col min="9" max="9" width="0.140625" customWidth="1"/>
    <col min="10" max="10" width="9.140625" hidden="1" customWidth="1"/>
    <col min="11" max="11" width="15.5703125" customWidth="1"/>
    <col min="12" max="12" width="10.7109375" hidden="1" customWidth="1"/>
    <col min="13" max="13" width="10.85546875" hidden="1" customWidth="1"/>
  </cols>
  <sheetData>
    <row r="1" spans="1:14">
      <c r="A1" s="37" t="s">
        <v>358</v>
      </c>
      <c r="B1" s="206"/>
      <c r="C1" s="265"/>
      <c r="D1" s="265"/>
    </row>
    <row r="2" spans="1:14" ht="15.75" thickBot="1">
      <c r="A2" s="8"/>
    </row>
    <row r="3" spans="1:14" ht="26.25" thickBot="1">
      <c r="A3" s="130" t="s">
        <v>39</v>
      </c>
      <c r="B3" s="266" t="s">
        <v>1</v>
      </c>
      <c r="C3" s="266" t="s">
        <v>40</v>
      </c>
      <c r="D3" s="266" t="s">
        <v>41</v>
      </c>
      <c r="E3" s="266" t="s">
        <v>42</v>
      </c>
      <c r="F3" s="266" t="s">
        <v>43</v>
      </c>
      <c r="G3" s="207" t="s">
        <v>0</v>
      </c>
    </row>
    <row r="4" spans="1:14" ht="15.75" thickBot="1">
      <c r="A4" s="7"/>
      <c r="B4" s="208"/>
      <c r="C4" s="267"/>
      <c r="D4" s="267"/>
      <c r="E4" s="267"/>
      <c r="F4" s="267"/>
      <c r="G4" s="208"/>
    </row>
    <row r="5" spans="1:14" ht="15.75" thickBot="1">
      <c r="A5" s="9" t="s">
        <v>3</v>
      </c>
      <c r="B5" s="209">
        <f>(365797)*12*107/100</f>
        <v>4696833.4800000004</v>
      </c>
      <c r="C5" s="268">
        <f>Payroll!O28+Payroll!O86</f>
        <v>5687728.3305874113</v>
      </c>
      <c r="D5" s="268">
        <f>Payroll!O30+Payroll!O152+Payroll!O169</f>
        <v>15491252.858232567</v>
      </c>
      <c r="E5" s="268">
        <f>Payroll!O27+Payroll!O112</f>
        <v>8086166.4970775694</v>
      </c>
      <c r="F5" s="268">
        <f>Payroll!O29+Payroll!O58+Payroll!O69</f>
        <v>9899658.2622337919</v>
      </c>
      <c r="G5" s="209">
        <f>SUM(B5:F5)</f>
        <v>43861639.428131342</v>
      </c>
      <c r="H5" s="96" t="s">
        <v>173</v>
      </c>
      <c r="I5" s="96"/>
    </row>
    <row r="6" spans="1:14" s="1" customFormat="1" ht="15.75" thickBot="1">
      <c r="A6" s="10"/>
      <c r="B6" s="210"/>
      <c r="C6" s="269"/>
      <c r="D6" s="269"/>
      <c r="E6" s="269"/>
      <c r="F6" s="269"/>
      <c r="G6" s="211"/>
      <c r="I6" s="96"/>
    </row>
    <row r="7" spans="1:14" ht="15.75" thickBot="1">
      <c r="A7" s="9" t="s">
        <v>44</v>
      </c>
      <c r="B7" s="214">
        <f t="shared" ref="B7:G7" si="0">B5</f>
        <v>4696833.4800000004</v>
      </c>
      <c r="C7" s="270">
        <f t="shared" si="0"/>
        <v>5687728.3305874113</v>
      </c>
      <c r="D7" s="270">
        <f t="shared" si="0"/>
        <v>15491252.858232567</v>
      </c>
      <c r="E7" s="270">
        <f t="shared" si="0"/>
        <v>8086166.4970775694</v>
      </c>
      <c r="F7" s="270">
        <f t="shared" si="0"/>
        <v>9899658.2622337919</v>
      </c>
      <c r="G7" s="214">
        <f t="shared" si="0"/>
        <v>43861639.428131342</v>
      </c>
    </row>
    <row r="8" spans="1:14" ht="15.75" thickBot="1">
      <c r="A8" s="10"/>
      <c r="B8" s="211"/>
      <c r="C8" s="269"/>
      <c r="D8" s="269"/>
      <c r="E8" s="269"/>
      <c r="F8" s="269"/>
      <c r="G8" s="211"/>
    </row>
    <row r="9" spans="1:14" ht="15.75" thickBot="1">
      <c r="A9" s="10" t="s">
        <v>38</v>
      </c>
      <c r="B9" s="211"/>
      <c r="C9" s="269">
        <v>70000</v>
      </c>
      <c r="D9" s="269"/>
      <c r="E9" s="269"/>
      <c r="F9" s="269"/>
      <c r="G9" s="298">
        <f>SUM(B9:F9)</f>
        <v>70000</v>
      </c>
      <c r="H9" s="1" t="s">
        <v>179</v>
      </c>
      <c r="M9" s="5"/>
    </row>
    <row r="10" spans="1:14" ht="15.75" thickBot="1">
      <c r="A10" s="10" t="s">
        <v>23</v>
      </c>
      <c r="B10" s="211"/>
      <c r="C10" s="269">
        <v>75000</v>
      </c>
      <c r="D10" s="269">
        <v>150000</v>
      </c>
      <c r="E10" s="269"/>
      <c r="F10" s="269"/>
      <c r="G10" s="298">
        <f t="shared" ref="G10:G53" si="1">SUM(B10:F10)</f>
        <v>225000</v>
      </c>
      <c r="H10" s="1" t="s">
        <v>179</v>
      </c>
      <c r="M10" s="5"/>
    </row>
    <row r="11" spans="1:14" ht="15.75" thickBot="1">
      <c r="A11" s="10" t="s">
        <v>35</v>
      </c>
      <c r="B11" s="211"/>
      <c r="C11" s="269"/>
      <c r="D11" s="269"/>
      <c r="E11" s="269"/>
      <c r="F11" s="269">
        <v>150000</v>
      </c>
      <c r="G11" s="298">
        <f t="shared" si="1"/>
        <v>150000</v>
      </c>
      <c r="H11" s="1" t="s">
        <v>179</v>
      </c>
    </row>
    <row r="12" spans="1:14" ht="15.75" thickBot="1">
      <c r="A12" s="10" t="s">
        <v>4</v>
      </c>
      <c r="B12" s="211">
        <v>10000</v>
      </c>
      <c r="C12" s="269">
        <v>25000</v>
      </c>
      <c r="D12" s="269">
        <v>40000</v>
      </c>
      <c r="E12" s="269">
        <v>30000</v>
      </c>
      <c r="F12" s="269">
        <v>30000</v>
      </c>
      <c r="G12" s="298">
        <f t="shared" si="1"/>
        <v>135000</v>
      </c>
      <c r="H12" s="1" t="s">
        <v>179</v>
      </c>
      <c r="N12">
        <v>18602239.98</v>
      </c>
    </row>
    <row r="13" spans="1:14" ht="15.75" thickBot="1">
      <c r="A13" s="10" t="s">
        <v>5</v>
      </c>
      <c r="B13" s="211"/>
      <c r="C13" s="269">
        <v>20000</v>
      </c>
      <c r="D13" s="269">
        <v>10000</v>
      </c>
      <c r="E13" s="269"/>
      <c r="F13" s="269">
        <v>30000</v>
      </c>
      <c r="G13" s="298">
        <f t="shared" si="1"/>
        <v>60000</v>
      </c>
      <c r="H13" s="1" t="s">
        <v>179</v>
      </c>
      <c r="I13" s="2"/>
    </row>
    <row r="14" spans="1:14" ht="15.75" thickBot="1">
      <c r="A14" s="10" t="s">
        <v>24</v>
      </c>
      <c r="B14" s="211"/>
      <c r="C14" s="269">
        <v>1800000</v>
      </c>
      <c r="D14" s="269"/>
      <c r="E14" s="269"/>
      <c r="F14" s="269"/>
      <c r="G14" s="298">
        <f t="shared" si="1"/>
        <v>1800000</v>
      </c>
      <c r="H14" s="106" t="s">
        <v>178</v>
      </c>
    </row>
    <row r="15" spans="1:14" ht="15.75" thickBot="1">
      <c r="A15" s="10" t="s">
        <v>113</v>
      </c>
      <c r="B15" s="211"/>
      <c r="C15" s="269"/>
      <c r="D15" s="269"/>
      <c r="E15" s="269"/>
      <c r="F15" s="269">
        <v>20000</v>
      </c>
      <c r="G15" s="298">
        <f t="shared" si="1"/>
        <v>20000</v>
      </c>
      <c r="H15" s="1" t="s">
        <v>179</v>
      </c>
      <c r="I15" s="36"/>
    </row>
    <row r="16" spans="1:14" ht="15.75" thickBot="1">
      <c r="A16" s="10" t="s">
        <v>6</v>
      </c>
      <c r="B16" s="211"/>
      <c r="C16" s="269"/>
      <c r="D16" s="269"/>
      <c r="E16" s="269"/>
      <c r="F16" s="269"/>
      <c r="G16" s="298">
        <f t="shared" si="1"/>
        <v>0</v>
      </c>
      <c r="H16" s="1" t="s">
        <v>179</v>
      </c>
    </row>
    <row r="17" spans="1:8" ht="15.75" thickBot="1">
      <c r="A17" s="10" t="s">
        <v>7</v>
      </c>
      <c r="B17" s="211"/>
      <c r="C17" s="269">
        <v>2000</v>
      </c>
      <c r="D17" s="269">
        <v>3000</v>
      </c>
      <c r="E17" s="269"/>
      <c r="F17" s="269">
        <v>1500</v>
      </c>
      <c r="G17" s="298">
        <f t="shared" si="1"/>
        <v>6500</v>
      </c>
      <c r="H17" s="1" t="s">
        <v>179</v>
      </c>
    </row>
    <row r="18" spans="1:8" ht="15.75" thickBot="1">
      <c r="A18" s="10" t="s">
        <v>8</v>
      </c>
      <c r="B18" s="211">
        <v>800000</v>
      </c>
      <c r="C18" s="269">
        <v>280000</v>
      </c>
      <c r="D18" s="269">
        <v>340000</v>
      </c>
      <c r="E18" s="269">
        <v>400000</v>
      </c>
      <c r="F18" s="269">
        <v>280000</v>
      </c>
      <c r="G18" s="298">
        <f t="shared" si="1"/>
        <v>2100000</v>
      </c>
      <c r="H18" s="1" t="s">
        <v>179</v>
      </c>
    </row>
    <row r="19" spans="1:8" ht="15.75" thickBot="1">
      <c r="A19" s="10" t="s">
        <v>46</v>
      </c>
      <c r="B19" s="211"/>
      <c r="C19" s="269">
        <v>50000</v>
      </c>
      <c r="D19" s="269"/>
      <c r="E19" s="269"/>
      <c r="F19" s="269"/>
      <c r="G19" s="298">
        <f t="shared" si="1"/>
        <v>50000</v>
      </c>
      <c r="H19" s="1" t="s">
        <v>179</v>
      </c>
    </row>
    <row r="20" spans="1:8" ht="15.75" thickBot="1">
      <c r="A20" s="10" t="s">
        <v>25</v>
      </c>
      <c r="B20" s="211"/>
      <c r="C20" s="269">
        <v>568000</v>
      </c>
      <c r="D20" s="269"/>
      <c r="E20" s="269"/>
      <c r="F20" s="269"/>
      <c r="G20" s="298">
        <f t="shared" si="1"/>
        <v>568000</v>
      </c>
      <c r="H20" s="1" t="s">
        <v>179</v>
      </c>
    </row>
    <row r="21" spans="1:8" ht="15.75" thickBot="1">
      <c r="A21" s="10" t="s">
        <v>9</v>
      </c>
      <c r="B21" s="211">
        <v>113174</v>
      </c>
      <c r="C21" s="269">
        <v>84996</v>
      </c>
      <c r="D21" s="269">
        <v>297345</v>
      </c>
      <c r="E21" s="269">
        <v>120353.98</v>
      </c>
      <c r="F21" s="269">
        <v>184071</v>
      </c>
      <c r="G21" s="298">
        <f t="shared" si="1"/>
        <v>799939.98</v>
      </c>
      <c r="H21" s="1" t="s">
        <v>179</v>
      </c>
    </row>
    <row r="22" spans="1:8" ht="15.75" thickBot="1">
      <c r="A22" s="10" t="s">
        <v>26</v>
      </c>
      <c r="B22" s="211"/>
      <c r="C22" s="269">
        <v>108000</v>
      </c>
      <c r="D22" s="269"/>
      <c r="E22" s="269"/>
      <c r="F22" s="269"/>
      <c r="G22" s="298">
        <f t="shared" si="1"/>
        <v>108000</v>
      </c>
      <c r="H22" s="1" t="s">
        <v>179</v>
      </c>
    </row>
    <row r="23" spans="1:8" ht="15.75" thickBot="1">
      <c r="A23" s="10" t="s">
        <v>10</v>
      </c>
      <c r="B23" s="211">
        <v>4000</v>
      </c>
      <c r="C23" s="269">
        <v>2000</v>
      </c>
      <c r="D23" s="269">
        <v>6000</v>
      </c>
      <c r="E23" s="269">
        <v>4000</v>
      </c>
      <c r="F23" s="269">
        <v>4000</v>
      </c>
      <c r="G23" s="298">
        <f t="shared" si="1"/>
        <v>20000</v>
      </c>
      <c r="H23" s="1" t="s">
        <v>179</v>
      </c>
    </row>
    <row r="24" spans="1:8" ht="15.75" thickBot="1">
      <c r="A24" s="10" t="s">
        <v>47</v>
      </c>
      <c r="B24" s="211"/>
      <c r="C24" s="269">
        <v>500000</v>
      </c>
      <c r="D24" s="269"/>
      <c r="E24" s="269"/>
      <c r="F24" s="269"/>
      <c r="G24" s="298">
        <f t="shared" si="1"/>
        <v>500000</v>
      </c>
      <c r="H24" s="1" t="s">
        <v>179</v>
      </c>
    </row>
    <row r="25" spans="1:8" ht="15.75" thickBot="1">
      <c r="A25" s="10" t="s">
        <v>27</v>
      </c>
      <c r="B25" s="211"/>
      <c r="C25" s="269"/>
      <c r="D25" s="269">
        <v>200000</v>
      </c>
      <c r="E25" s="269"/>
      <c r="F25" s="269"/>
      <c r="G25" s="298">
        <f t="shared" si="1"/>
        <v>200000</v>
      </c>
      <c r="H25" s="1" t="s">
        <v>179</v>
      </c>
    </row>
    <row r="26" spans="1:8" ht="15.75" thickBot="1">
      <c r="A26" s="10" t="s">
        <v>11</v>
      </c>
      <c r="B26" s="211">
        <v>50000</v>
      </c>
      <c r="C26" s="269"/>
      <c r="D26" s="269"/>
      <c r="E26" s="269"/>
      <c r="F26" s="269"/>
      <c r="G26" s="298">
        <f t="shared" si="1"/>
        <v>50000</v>
      </c>
      <c r="H26" s="1" t="s">
        <v>179</v>
      </c>
    </row>
    <row r="27" spans="1:8" ht="15.75" thickBot="1">
      <c r="A27" s="10" t="s">
        <v>12</v>
      </c>
      <c r="B27" s="211">
        <v>30000</v>
      </c>
      <c r="C27" s="269"/>
      <c r="D27" s="269"/>
      <c r="E27" s="269"/>
      <c r="F27" s="269"/>
      <c r="G27" s="298">
        <f t="shared" si="1"/>
        <v>30000</v>
      </c>
      <c r="H27" s="1" t="s">
        <v>179</v>
      </c>
    </row>
    <row r="28" spans="1:8" ht="15.75" thickBot="1">
      <c r="A28" s="10" t="s">
        <v>13</v>
      </c>
      <c r="B28" s="211">
        <v>30000</v>
      </c>
      <c r="C28" s="269"/>
      <c r="D28" s="269"/>
      <c r="E28" s="269"/>
      <c r="F28" s="269"/>
      <c r="G28" s="298">
        <f t="shared" si="1"/>
        <v>30000</v>
      </c>
      <c r="H28" s="1" t="s">
        <v>179</v>
      </c>
    </row>
    <row r="29" spans="1:8" ht="15.75" thickBot="1">
      <c r="A29" s="10" t="s">
        <v>48</v>
      </c>
      <c r="B29" s="211"/>
      <c r="C29" s="269">
        <v>30000</v>
      </c>
      <c r="D29" s="269"/>
      <c r="E29" s="269"/>
      <c r="F29" s="269"/>
      <c r="G29" s="298">
        <f t="shared" si="1"/>
        <v>30000</v>
      </c>
      <c r="H29" s="1" t="s">
        <v>179</v>
      </c>
    </row>
    <row r="30" spans="1:8" ht="27" thickBot="1">
      <c r="A30" s="10" t="s">
        <v>49</v>
      </c>
      <c r="B30" s="211"/>
      <c r="C30" s="269"/>
      <c r="D30" s="269">
        <v>8400</v>
      </c>
      <c r="E30" s="269"/>
      <c r="F30" s="269"/>
      <c r="G30" s="298">
        <f t="shared" si="1"/>
        <v>8400</v>
      </c>
      <c r="H30" s="1" t="s">
        <v>179</v>
      </c>
    </row>
    <row r="31" spans="1:8" ht="27" thickBot="1">
      <c r="A31" s="10" t="s">
        <v>50</v>
      </c>
      <c r="B31" s="211"/>
      <c r="C31" s="269"/>
      <c r="D31" s="269"/>
      <c r="E31" s="269"/>
      <c r="F31" s="269"/>
      <c r="G31" s="298">
        <f t="shared" si="1"/>
        <v>0</v>
      </c>
      <c r="H31" s="1" t="s">
        <v>179</v>
      </c>
    </row>
    <row r="32" spans="1:8" ht="15.75" thickBot="1">
      <c r="A32" s="10" t="s">
        <v>51</v>
      </c>
      <c r="B32" s="211"/>
      <c r="C32" s="269"/>
      <c r="D32" s="269"/>
      <c r="E32" s="269"/>
      <c r="F32" s="269">
        <v>20000</v>
      </c>
      <c r="G32" s="298">
        <f t="shared" si="1"/>
        <v>20000</v>
      </c>
      <c r="H32" s="1" t="s">
        <v>179</v>
      </c>
    </row>
    <row r="33" spans="1:11" ht="15.75" thickBot="1">
      <c r="A33" s="10" t="s">
        <v>28</v>
      </c>
      <c r="B33" s="211"/>
      <c r="C33" s="269"/>
      <c r="D33" s="269"/>
      <c r="E33" s="269"/>
      <c r="F33" s="269"/>
      <c r="G33" s="298">
        <f t="shared" si="1"/>
        <v>0</v>
      </c>
      <c r="H33" s="1" t="s">
        <v>179</v>
      </c>
    </row>
    <row r="34" spans="1:11" ht="15.75" thickBot="1">
      <c r="A34" s="10" t="s">
        <v>52</v>
      </c>
      <c r="B34" s="211"/>
      <c r="C34" s="269"/>
      <c r="D34" s="269">
        <v>150000</v>
      </c>
      <c r="E34" s="269"/>
      <c r="F34" s="269"/>
      <c r="G34" s="298">
        <f t="shared" si="1"/>
        <v>150000</v>
      </c>
      <c r="H34" s="1" t="s">
        <v>179</v>
      </c>
    </row>
    <row r="35" spans="1:11" ht="15.75" thickBot="1">
      <c r="A35" s="10" t="s">
        <v>53</v>
      </c>
      <c r="B35" s="211"/>
      <c r="C35" s="269"/>
      <c r="D35" s="269">
        <v>20000</v>
      </c>
      <c r="E35" s="269"/>
      <c r="F35" s="269"/>
      <c r="G35" s="298">
        <f t="shared" si="1"/>
        <v>20000</v>
      </c>
      <c r="H35" s="1" t="s">
        <v>179</v>
      </c>
    </row>
    <row r="36" spans="1:11" ht="15.75" thickBot="1">
      <c r="A36" s="10" t="s">
        <v>14</v>
      </c>
      <c r="B36" s="211"/>
      <c r="C36" s="269"/>
      <c r="D36" s="269">
        <v>280000</v>
      </c>
      <c r="E36" s="269"/>
      <c r="F36" s="269"/>
      <c r="G36" s="298">
        <f t="shared" si="1"/>
        <v>280000</v>
      </c>
      <c r="H36" s="1" t="s">
        <v>179</v>
      </c>
    </row>
    <row r="37" spans="1:11" ht="15.75" thickBot="1">
      <c r="A37" s="10" t="s">
        <v>15</v>
      </c>
      <c r="B37" s="211">
        <v>65133</v>
      </c>
      <c r="C37" s="269">
        <v>48850</v>
      </c>
      <c r="D37" s="269">
        <f>170973+19999.46</f>
        <v>190972.46</v>
      </c>
      <c r="E37" s="269">
        <v>69203.539999999994</v>
      </c>
      <c r="F37" s="269">
        <v>105841</v>
      </c>
      <c r="G37" s="298">
        <f>40000*12</f>
        <v>480000</v>
      </c>
      <c r="H37" s="1" t="s">
        <v>179</v>
      </c>
      <c r="K37" s="5"/>
    </row>
    <row r="38" spans="1:11" ht="15.75" thickBot="1">
      <c r="A38" s="10" t="s">
        <v>16</v>
      </c>
      <c r="B38" s="211"/>
      <c r="C38" s="269"/>
      <c r="D38" s="269">
        <v>2300</v>
      </c>
      <c r="E38" s="269"/>
      <c r="F38" s="269"/>
      <c r="G38" s="298">
        <f t="shared" si="1"/>
        <v>2300</v>
      </c>
      <c r="H38" s="1" t="s">
        <v>179</v>
      </c>
    </row>
    <row r="39" spans="1:11" ht="15.75" thickBot="1">
      <c r="A39" s="10" t="s">
        <v>407</v>
      </c>
      <c r="B39" s="211"/>
      <c r="C39" s="269"/>
      <c r="D39" s="269">
        <v>300000</v>
      </c>
      <c r="E39" s="269"/>
      <c r="F39" s="269"/>
      <c r="G39" s="298">
        <f t="shared" si="1"/>
        <v>300000</v>
      </c>
      <c r="H39" s="1" t="s">
        <v>179</v>
      </c>
    </row>
    <row r="40" spans="1:11" s="1" customFormat="1" ht="15.75" thickBot="1">
      <c r="A40" s="10" t="s">
        <v>298</v>
      </c>
      <c r="B40" s="211"/>
      <c r="C40" s="269"/>
      <c r="D40" s="269"/>
      <c r="E40" s="269"/>
      <c r="F40" s="269"/>
      <c r="G40" s="298">
        <f t="shared" si="1"/>
        <v>0</v>
      </c>
    </row>
    <row r="41" spans="1:11" ht="15.75" thickBot="1">
      <c r="A41" s="11" t="s">
        <v>54</v>
      </c>
      <c r="B41" s="211"/>
      <c r="C41" s="269">
        <v>10000</v>
      </c>
      <c r="D41" s="269">
        <v>8000</v>
      </c>
      <c r="E41" s="269">
        <v>10000</v>
      </c>
      <c r="F41" s="269">
        <v>16000</v>
      </c>
      <c r="G41" s="298">
        <f t="shared" si="1"/>
        <v>44000</v>
      </c>
      <c r="H41" s="1" t="s">
        <v>179</v>
      </c>
    </row>
    <row r="42" spans="1:11" ht="15.75" thickBot="1">
      <c r="A42" s="11" t="s">
        <v>97</v>
      </c>
      <c r="B42" s="211"/>
      <c r="C42" s="269"/>
      <c r="D42" s="269"/>
      <c r="E42" s="269"/>
      <c r="F42" s="269"/>
      <c r="G42" s="298">
        <f t="shared" si="1"/>
        <v>0</v>
      </c>
      <c r="H42" s="1" t="s">
        <v>179</v>
      </c>
    </row>
    <row r="43" spans="1:11" s="1" customFormat="1" ht="15.75" thickBot="1">
      <c r="A43" s="11" t="s">
        <v>84</v>
      </c>
      <c r="B43" s="211"/>
      <c r="C43" s="269"/>
      <c r="D43" s="269">
        <v>70000</v>
      </c>
      <c r="E43" s="269"/>
      <c r="F43" s="269"/>
      <c r="G43" s="298">
        <f t="shared" si="1"/>
        <v>70000</v>
      </c>
      <c r="H43" s="1" t="s">
        <v>179</v>
      </c>
    </row>
    <row r="44" spans="1:11" s="1" customFormat="1" ht="15.75" thickBot="1">
      <c r="A44" s="11" t="s">
        <v>45</v>
      </c>
      <c r="B44" s="211"/>
      <c r="C44" s="269"/>
      <c r="D44" s="269"/>
      <c r="E44" s="269"/>
      <c r="F44" s="269"/>
      <c r="G44" s="298">
        <f t="shared" si="1"/>
        <v>0</v>
      </c>
      <c r="H44" s="1" t="s">
        <v>179</v>
      </c>
    </row>
    <row r="45" spans="1:11" s="1" customFormat="1" ht="15.75" thickBot="1">
      <c r="A45" s="11" t="s">
        <v>93</v>
      </c>
      <c r="B45" s="211"/>
      <c r="C45" s="269"/>
      <c r="D45" s="269">
        <v>3600</v>
      </c>
      <c r="E45" s="269"/>
      <c r="F45" s="269"/>
      <c r="G45" s="298">
        <f t="shared" si="1"/>
        <v>3600</v>
      </c>
      <c r="H45" s="1" t="s">
        <v>179</v>
      </c>
    </row>
    <row r="46" spans="1:11" s="1" customFormat="1" ht="15.75" thickBot="1">
      <c r="A46" s="11" t="s">
        <v>96</v>
      </c>
      <c r="B46" s="211">
        <v>3500000</v>
      </c>
      <c r="C46" s="269"/>
      <c r="D46" s="269"/>
      <c r="E46" s="269"/>
      <c r="F46" s="269"/>
      <c r="G46" s="298">
        <f t="shared" si="1"/>
        <v>3500000</v>
      </c>
      <c r="H46" s="1" t="s">
        <v>179</v>
      </c>
    </row>
    <row r="47" spans="1:11" s="1" customFormat="1" ht="15.75" thickBot="1">
      <c r="A47" s="11" t="s">
        <v>109</v>
      </c>
      <c r="B47" s="211"/>
      <c r="C47" s="269"/>
      <c r="D47" s="269"/>
      <c r="E47" s="269"/>
      <c r="F47" s="269"/>
      <c r="G47" s="298">
        <f t="shared" si="1"/>
        <v>0</v>
      </c>
      <c r="H47" s="97" t="s">
        <v>174</v>
      </c>
      <c r="I47" s="97"/>
    </row>
    <row r="48" spans="1:11" s="1" customFormat="1" ht="15.75" thickBot="1">
      <c r="A48" s="11" t="s">
        <v>400</v>
      </c>
      <c r="B48" s="211"/>
      <c r="C48" s="269"/>
      <c r="D48" s="269">
        <v>20000</v>
      </c>
      <c r="E48" s="269"/>
      <c r="F48" s="269"/>
      <c r="G48" s="298">
        <f t="shared" si="1"/>
        <v>20000</v>
      </c>
      <c r="H48" s="97"/>
      <c r="I48" s="97"/>
    </row>
    <row r="49" spans="1:9" s="1" customFormat="1" ht="15.75" thickBot="1">
      <c r="A49" s="11" t="s">
        <v>401</v>
      </c>
      <c r="B49" s="211"/>
      <c r="C49" s="269"/>
      <c r="D49" s="269">
        <v>40000</v>
      </c>
      <c r="E49" s="269"/>
      <c r="F49" s="269"/>
      <c r="G49" s="298">
        <f t="shared" si="1"/>
        <v>40000</v>
      </c>
      <c r="H49" s="97"/>
      <c r="I49" s="97"/>
    </row>
    <row r="50" spans="1:9" s="1" customFormat="1" ht="15.75" thickBot="1">
      <c r="A50" s="11" t="s">
        <v>402</v>
      </c>
      <c r="B50" s="211"/>
      <c r="C50" s="269"/>
      <c r="D50" s="269">
        <v>20000</v>
      </c>
      <c r="E50" s="269"/>
      <c r="F50" s="269"/>
      <c r="G50" s="298">
        <f t="shared" si="1"/>
        <v>20000</v>
      </c>
      <c r="H50" s="97"/>
      <c r="I50" s="97"/>
    </row>
    <row r="51" spans="1:9" s="1" customFormat="1" ht="15.75" thickBot="1">
      <c r="A51" s="11" t="s">
        <v>403</v>
      </c>
      <c r="B51" s="211"/>
      <c r="C51" s="269"/>
      <c r="D51" s="269">
        <v>475000</v>
      </c>
      <c r="E51" s="269"/>
      <c r="F51" s="269"/>
      <c r="G51" s="298">
        <f t="shared" si="1"/>
        <v>475000</v>
      </c>
      <c r="H51" s="97"/>
      <c r="I51" s="97"/>
    </row>
    <row r="52" spans="1:9" s="1" customFormat="1" ht="15.75" thickBot="1">
      <c r="A52" s="11"/>
      <c r="B52" s="211"/>
      <c r="C52" s="269"/>
      <c r="D52" s="269"/>
      <c r="E52" s="269"/>
      <c r="F52" s="269"/>
      <c r="G52" s="298">
        <f t="shared" si="1"/>
        <v>0</v>
      </c>
      <c r="H52" s="97"/>
      <c r="I52" s="97"/>
    </row>
    <row r="53" spans="1:9" s="1" customFormat="1" ht="15.75" thickBot="1">
      <c r="A53" s="11" t="s">
        <v>405</v>
      </c>
      <c r="B53" s="211"/>
      <c r="C53" s="269"/>
      <c r="D53" s="269">
        <v>120000</v>
      </c>
      <c r="E53" s="269"/>
      <c r="F53" s="269"/>
      <c r="G53" s="298">
        <f t="shared" si="1"/>
        <v>120000</v>
      </c>
      <c r="H53" s="1" t="s">
        <v>179</v>
      </c>
    </row>
    <row r="54" spans="1:9" ht="15.75" thickBot="1">
      <c r="A54" s="382" t="s">
        <v>55</v>
      </c>
      <c r="B54" s="380">
        <f t="shared" ref="B54:F54" si="2">SUM(B9:B53)</f>
        <v>4602307</v>
      </c>
      <c r="C54" s="380">
        <f t="shared" si="2"/>
        <v>3673846</v>
      </c>
      <c r="D54" s="380">
        <f t="shared" si="2"/>
        <v>2754617.46</v>
      </c>
      <c r="E54" s="380">
        <f t="shared" si="2"/>
        <v>633557.52</v>
      </c>
      <c r="F54" s="380">
        <f t="shared" si="2"/>
        <v>841412</v>
      </c>
      <c r="G54" s="380">
        <f>SUM(G9:G53)</f>
        <v>12505739.98</v>
      </c>
    </row>
    <row r="55" spans="1:9" ht="15.75" thickBot="1">
      <c r="A55" s="10"/>
      <c r="B55" s="211"/>
      <c r="C55" s="269"/>
      <c r="D55" s="269"/>
      <c r="E55" s="269"/>
      <c r="F55" s="269"/>
      <c r="G55" s="211"/>
    </row>
    <row r="56" spans="1:9" ht="15.75" thickBot="1">
      <c r="A56" s="10" t="s">
        <v>18</v>
      </c>
      <c r="B56" s="211"/>
      <c r="C56" s="269">
        <v>30000</v>
      </c>
      <c r="D56" s="269">
        <v>100000</v>
      </c>
      <c r="E56" s="269"/>
      <c r="F56" s="269">
        <v>0</v>
      </c>
      <c r="G56" s="298">
        <f t="shared" ref="G56:G66" si="3">SUM(B56:F56)</f>
        <v>130000</v>
      </c>
      <c r="H56" s="98" t="s">
        <v>175</v>
      </c>
    </row>
    <row r="57" spans="1:9" ht="15.75" thickBot="1">
      <c r="A57" s="10" t="s">
        <v>19</v>
      </c>
      <c r="B57" s="211"/>
      <c r="C57" s="269"/>
      <c r="D57" s="269">
        <v>100000</v>
      </c>
      <c r="E57" s="269"/>
      <c r="F57" s="269"/>
      <c r="G57" s="298">
        <f t="shared" si="3"/>
        <v>100000</v>
      </c>
      <c r="H57" s="98" t="s">
        <v>175</v>
      </c>
    </row>
    <row r="58" spans="1:9" ht="15.75" thickBot="1">
      <c r="A58" s="10" t="s">
        <v>56</v>
      </c>
      <c r="B58" s="211"/>
      <c r="C58" s="269"/>
      <c r="D58" s="269">
        <v>20000</v>
      </c>
      <c r="E58" s="269"/>
      <c r="F58" s="269"/>
      <c r="G58" s="298">
        <f t="shared" si="3"/>
        <v>20000</v>
      </c>
      <c r="H58" s="98" t="s">
        <v>175</v>
      </c>
    </row>
    <row r="59" spans="1:9" s="1" customFormat="1" ht="15.75" thickBot="1">
      <c r="A59" s="10" t="s">
        <v>307</v>
      </c>
      <c r="B59" s="211"/>
      <c r="C59" s="269"/>
      <c r="D59" s="269">
        <f>28000</f>
        <v>28000</v>
      </c>
      <c r="E59" s="269"/>
      <c r="F59" s="269"/>
      <c r="G59" s="298">
        <f t="shared" si="3"/>
        <v>28000</v>
      </c>
      <c r="H59" s="98"/>
    </row>
    <row r="60" spans="1:9" ht="28.5" customHeight="1" thickBot="1">
      <c r="A60" s="10" t="s">
        <v>308</v>
      </c>
      <c r="B60" s="211"/>
      <c r="C60" s="269"/>
      <c r="D60" s="269"/>
      <c r="E60" s="269"/>
      <c r="F60" s="269"/>
      <c r="G60" s="298">
        <f t="shared" si="3"/>
        <v>0</v>
      </c>
      <c r="H60" s="98"/>
    </row>
    <row r="61" spans="1:9" s="1" customFormat="1" ht="28.5" customHeight="1" thickBot="1">
      <c r="A61" s="10" t="s">
        <v>300</v>
      </c>
      <c r="B61" s="211"/>
      <c r="C61" s="269"/>
      <c r="D61" s="269">
        <v>100000</v>
      </c>
      <c r="E61" s="269"/>
      <c r="F61" s="269"/>
      <c r="G61" s="298">
        <f t="shared" si="3"/>
        <v>100000</v>
      </c>
      <c r="H61" s="98"/>
    </row>
    <row r="62" spans="1:9" s="1" customFormat="1" ht="28.5" customHeight="1" thickBot="1">
      <c r="A62" s="10" t="s">
        <v>301</v>
      </c>
      <c r="B62" s="211"/>
      <c r="C62" s="269"/>
      <c r="D62" s="269"/>
      <c r="E62" s="269"/>
      <c r="F62" s="269"/>
      <c r="G62" s="298">
        <f t="shared" si="3"/>
        <v>0</v>
      </c>
      <c r="H62" s="98"/>
    </row>
    <row r="63" spans="1:9" s="1" customFormat="1" ht="28.5" customHeight="1" thickBot="1">
      <c r="A63" s="10" t="s">
        <v>302</v>
      </c>
      <c r="B63" s="211"/>
      <c r="C63" s="269"/>
      <c r="D63" s="269"/>
      <c r="E63" s="269"/>
      <c r="F63" s="269"/>
      <c r="G63" s="298">
        <f t="shared" si="3"/>
        <v>0</v>
      </c>
      <c r="H63" s="98"/>
    </row>
    <row r="64" spans="1:9" s="1" customFormat="1" ht="28.5" customHeight="1" thickBot="1">
      <c r="A64" s="10" t="s">
        <v>309</v>
      </c>
      <c r="B64" s="211"/>
      <c r="C64" s="269"/>
      <c r="D64" s="269">
        <v>100000</v>
      </c>
      <c r="E64" s="269"/>
      <c r="F64" s="269"/>
      <c r="G64" s="298">
        <f t="shared" si="3"/>
        <v>100000</v>
      </c>
      <c r="H64" s="98"/>
    </row>
    <row r="65" spans="1:13" ht="27" thickBot="1">
      <c r="A65" s="10" t="s">
        <v>310</v>
      </c>
      <c r="B65" s="211"/>
      <c r="C65" s="269"/>
      <c r="D65" s="269"/>
      <c r="E65" s="269"/>
      <c r="F65" s="269"/>
      <c r="G65" s="298">
        <f t="shared" si="3"/>
        <v>0</v>
      </c>
      <c r="H65" s="98" t="s">
        <v>175</v>
      </c>
    </row>
    <row r="66" spans="1:13" ht="15.75" thickBot="1">
      <c r="A66" s="10" t="s">
        <v>57</v>
      </c>
      <c r="B66" s="211"/>
      <c r="C66" s="269"/>
      <c r="D66" s="269">
        <v>50000</v>
      </c>
      <c r="E66" s="269"/>
      <c r="F66" s="269"/>
      <c r="G66" s="298">
        <f t="shared" si="3"/>
        <v>50000</v>
      </c>
      <c r="H66" s="98" t="s">
        <v>175</v>
      </c>
    </row>
    <row r="67" spans="1:13" ht="15.75" thickBot="1">
      <c r="A67" s="383" t="s">
        <v>58</v>
      </c>
      <c r="B67" s="384">
        <f t="shared" ref="B67:G67" si="4">SUM(B56:B66)</f>
        <v>0</v>
      </c>
      <c r="C67" s="384">
        <f t="shared" si="4"/>
        <v>30000</v>
      </c>
      <c r="D67" s="384">
        <f t="shared" si="4"/>
        <v>498000</v>
      </c>
      <c r="E67" s="384">
        <f t="shared" si="4"/>
        <v>0</v>
      </c>
      <c r="F67" s="384">
        <f t="shared" si="4"/>
        <v>0</v>
      </c>
      <c r="G67" s="384">
        <f t="shared" si="4"/>
        <v>528000</v>
      </c>
    </row>
    <row r="68" spans="1:13" ht="15.75" thickBot="1">
      <c r="A68" s="360"/>
      <c r="B68" s="269"/>
      <c r="C68" s="269"/>
      <c r="D68" s="269"/>
      <c r="E68" s="269"/>
      <c r="F68" s="269"/>
      <c r="G68" s="269"/>
    </row>
    <row r="69" spans="1:13" ht="15.75" thickBot="1">
      <c r="A69" s="360" t="s">
        <v>20</v>
      </c>
      <c r="B69" s="269">
        <v>0</v>
      </c>
      <c r="C69" s="269"/>
      <c r="D69" s="269"/>
      <c r="E69" s="269"/>
      <c r="F69" s="269"/>
      <c r="G69" s="268">
        <f t="shared" ref="G69:G103" si="5">SUM(B69:F69)</f>
        <v>0</v>
      </c>
      <c r="H69" s="1" t="s">
        <v>179</v>
      </c>
      <c r="L69" s="36">
        <f>G7+G54+G67+G104</f>
        <v>62936879.408131346</v>
      </c>
      <c r="M69" s="1" t="s">
        <v>182</v>
      </c>
    </row>
    <row r="70" spans="1:13" ht="15.75" thickBot="1">
      <c r="A70" s="259" t="s">
        <v>21</v>
      </c>
      <c r="B70" s="269">
        <v>165000</v>
      </c>
      <c r="C70" s="269"/>
      <c r="D70" s="269"/>
      <c r="E70" s="269"/>
      <c r="F70" s="269"/>
      <c r="G70" s="268">
        <f t="shared" si="5"/>
        <v>165000</v>
      </c>
      <c r="H70" s="1" t="s">
        <v>179</v>
      </c>
    </row>
    <row r="71" spans="1:13" ht="15.75" thickBot="1">
      <c r="A71" s="259" t="s">
        <v>22</v>
      </c>
      <c r="B71" s="269">
        <v>90000</v>
      </c>
      <c r="C71" s="269"/>
      <c r="D71" s="269"/>
      <c r="E71" s="269"/>
      <c r="F71" s="269"/>
      <c r="G71" s="268">
        <f t="shared" si="5"/>
        <v>90000</v>
      </c>
      <c r="H71" s="1" t="s">
        <v>179</v>
      </c>
    </row>
    <row r="72" spans="1:13" ht="15.75" thickBot="1">
      <c r="A72" s="259" t="s">
        <v>59</v>
      </c>
      <c r="B72" s="269">
        <v>15000</v>
      </c>
      <c r="C72" s="269"/>
      <c r="D72" s="269"/>
      <c r="E72" s="269"/>
      <c r="F72" s="269"/>
      <c r="G72" s="268">
        <f t="shared" si="5"/>
        <v>15000</v>
      </c>
      <c r="H72" s="1" t="s">
        <v>179</v>
      </c>
    </row>
    <row r="73" spans="1:13" ht="15.75" thickBot="1">
      <c r="A73" s="259" t="s">
        <v>60</v>
      </c>
      <c r="B73" s="269">
        <v>200000</v>
      </c>
      <c r="C73" s="269"/>
      <c r="D73" s="269"/>
      <c r="E73" s="269"/>
      <c r="F73" s="269"/>
      <c r="G73" s="268">
        <f t="shared" si="5"/>
        <v>200000</v>
      </c>
      <c r="H73" s="1" t="s">
        <v>179</v>
      </c>
    </row>
    <row r="74" spans="1:13" ht="15.75" thickBot="1">
      <c r="A74" s="259" t="s">
        <v>61</v>
      </c>
      <c r="B74" s="269"/>
      <c r="C74" s="269"/>
      <c r="D74" s="269"/>
      <c r="E74" s="269"/>
      <c r="F74" s="269"/>
      <c r="G74" s="268">
        <f t="shared" si="5"/>
        <v>0</v>
      </c>
      <c r="H74" s="1" t="s">
        <v>179</v>
      </c>
    </row>
    <row r="75" spans="1:13" ht="15.75" thickBot="1">
      <c r="A75" s="360" t="s">
        <v>17</v>
      </c>
      <c r="B75" s="269">
        <v>27500</v>
      </c>
      <c r="C75" s="269"/>
      <c r="D75" s="269"/>
      <c r="E75" s="269"/>
      <c r="F75" s="269"/>
      <c r="G75" s="268">
        <f t="shared" si="5"/>
        <v>27500</v>
      </c>
      <c r="H75" s="1" t="s">
        <v>179</v>
      </c>
    </row>
    <row r="76" spans="1:13" ht="15.75" thickBot="1">
      <c r="A76" s="360" t="s">
        <v>83</v>
      </c>
      <c r="B76" s="269"/>
      <c r="C76" s="269"/>
      <c r="D76" s="269"/>
      <c r="E76" s="269">
        <v>500000</v>
      </c>
      <c r="F76" s="269"/>
      <c r="G76" s="268">
        <f t="shared" si="5"/>
        <v>500000</v>
      </c>
      <c r="H76" s="1" t="s">
        <v>179</v>
      </c>
    </row>
    <row r="77" spans="1:13" ht="15.75" thickBot="1">
      <c r="A77" s="360" t="s">
        <v>30</v>
      </c>
      <c r="B77" s="269"/>
      <c r="C77" s="269">
        <v>300000</v>
      </c>
      <c r="D77" s="269"/>
      <c r="E77" s="269"/>
      <c r="F77" s="269"/>
      <c r="G77" s="268">
        <f t="shared" si="5"/>
        <v>300000</v>
      </c>
      <c r="H77" s="97" t="s">
        <v>174</v>
      </c>
      <c r="I77" s="97"/>
    </row>
    <row r="78" spans="1:13" ht="15.75" thickBot="1">
      <c r="A78" s="360" t="s">
        <v>102</v>
      </c>
      <c r="B78" s="271"/>
      <c r="C78" s="271"/>
      <c r="D78" s="271"/>
      <c r="E78" s="269"/>
      <c r="F78" s="271"/>
      <c r="G78" s="268">
        <f t="shared" si="5"/>
        <v>0</v>
      </c>
      <c r="L78" s="105"/>
    </row>
    <row r="79" spans="1:13" ht="15.75" thickBot="1">
      <c r="A79" s="360" t="s">
        <v>31</v>
      </c>
      <c r="B79" s="269"/>
      <c r="C79" s="269"/>
      <c r="D79" s="269"/>
      <c r="E79" s="269"/>
      <c r="F79" s="269"/>
      <c r="G79" s="268">
        <f t="shared" si="5"/>
        <v>0</v>
      </c>
      <c r="H79" s="104" t="s">
        <v>177</v>
      </c>
      <c r="I79" s="104"/>
    </row>
    <row r="80" spans="1:13" ht="15.75" thickBot="1">
      <c r="A80" s="360" t="s">
        <v>32</v>
      </c>
      <c r="B80" s="269"/>
      <c r="C80" s="269"/>
      <c r="D80" s="269"/>
      <c r="E80" s="269"/>
      <c r="F80" s="269"/>
      <c r="G80" s="268">
        <f t="shared" si="5"/>
        <v>0</v>
      </c>
      <c r="H80" s="1" t="s">
        <v>179</v>
      </c>
    </row>
    <row r="81" spans="1:13" ht="15.75" thickBot="1">
      <c r="A81" s="360" t="s">
        <v>294</v>
      </c>
      <c r="B81" s="269"/>
      <c r="C81" s="269"/>
      <c r="D81" s="269"/>
      <c r="E81" s="269">
        <v>200000</v>
      </c>
      <c r="F81" s="269"/>
      <c r="G81" s="268">
        <f t="shared" si="5"/>
        <v>200000</v>
      </c>
    </row>
    <row r="82" spans="1:13" ht="15.75" thickBot="1">
      <c r="A82" s="360" t="s">
        <v>82</v>
      </c>
      <c r="B82" s="269"/>
      <c r="C82" s="269"/>
      <c r="D82" s="269"/>
      <c r="E82" s="269"/>
      <c r="F82" s="269"/>
      <c r="G82" s="268">
        <f t="shared" si="5"/>
        <v>0</v>
      </c>
      <c r="H82" s="1" t="s">
        <v>179</v>
      </c>
    </row>
    <row r="83" spans="1:13" ht="15.75" thickBot="1">
      <c r="A83" s="360" t="s">
        <v>100</v>
      </c>
      <c r="B83" s="269"/>
      <c r="C83" s="269">
        <v>0</v>
      </c>
      <c r="D83" s="269"/>
      <c r="E83" s="269"/>
      <c r="F83" s="269"/>
      <c r="G83" s="268">
        <f t="shared" si="5"/>
        <v>0</v>
      </c>
      <c r="H83" s="104" t="s">
        <v>177</v>
      </c>
      <c r="I83" s="104"/>
    </row>
    <row r="84" spans="1:13" ht="15.75" thickBot="1">
      <c r="A84" s="360" t="s">
        <v>34</v>
      </c>
      <c r="B84" s="269"/>
      <c r="C84" s="269"/>
      <c r="D84" s="269"/>
      <c r="E84" s="269"/>
      <c r="F84" s="269"/>
      <c r="G84" s="268">
        <f t="shared" si="5"/>
        <v>0</v>
      </c>
      <c r="H84" s="1" t="s">
        <v>179</v>
      </c>
    </row>
    <row r="85" spans="1:13" ht="15.75" thickBot="1">
      <c r="A85" s="360" t="s">
        <v>37</v>
      </c>
      <c r="B85" s="269"/>
      <c r="C85" s="269"/>
      <c r="D85" s="269"/>
      <c r="E85" s="269">
        <f>800000+150000</f>
        <v>950000</v>
      </c>
      <c r="F85" s="269"/>
      <c r="G85" s="268">
        <f t="shared" si="5"/>
        <v>950000</v>
      </c>
      <c r="H85" s="1" t="s">
        <v>179</v>
      </c>
      <c r="M85" s="36"/>
    </row>
    <row r="86" spans="1:13" ht="27.75" customHeight="1" thickBot="1">
      <c r="A86" s="360" t="s">
        <v>359</v>
      </c>
      <c r="B86" s="269"/>
      <c r="C86" s="269"/>
      <c r="D86" s="269"/>
      <c r="E86" s="269">
        <v>400000</v>
      </c>
      <c r="F86" s="269"/>
      <c r="G86" s="268">
        <f t="shared" si="5"/>
        <v>400000</v>
      </c>
      <c r="H86" s="1" t="s">
        <v>179</v>
      </c>
    </row>
    <row r="87" spans="1:13" ht="15.75" thickBot="1">
      <c r="A87" s="360" t="s">
        <v>90</v>
      </c>
      <c r="B87" s="269"/>
      <c r="C87" s="269">
        <v>20000</v>
      </c>
      <c r="D87" s="269"/>
      <c r="E87" s="269">
        <v>50000</v>
      </c>
      <c r="F87" s="269"/>
      <c r="G87" s="268">
        <f t="shared" si="5"/>
        <v>70000</v>
      </c>
      <c r="H87" s="1" t="s">
        <v>179</v>
      </c>
    </row>
    <row r="88" spans="1:13" ht="15.75" thickBot="1">
      <c r="A88" s="360" t="s">
        <v>297</v>
      </c>
      <c r="B88" s="269"/>
      <c r="C88" s="269"/>
      <c r="D88" s="269"/>
      <c r="E88" s="269"/>
      <c r="F88" s="269"/>
      <c r="G88" s="268">
        <f t="shared" si="5"/>
        <v>0</v>
      </c>
    </row>
    <row r="89" spans="1:13" ht="15.75" thickBot="1">
      <c r="A89" s="360" t="s">
        <v>63</v>
      </c>
      <c r="B89" s="269"/>
      <c r="C89" s="269"/>
      <c r="D89" s="269"/>
      <c r="E89" s="269"/>
      <c r="F89" s="269">
        <v>770000</v>
      </c>
      <c r="G89" s="268">
        <f t="shared" si="5"/>
        <v>770000</v>
      </c>
      <c r="H89" s="1" t="s">
        <v>179</v>
      </c>
    </row>
    <row r="90" spans="1:13" s="1" customFormat="1" ht="15.75" thickBot="1">
      <c r="A90" s="360" t="s">
        <v>89</v>
      </c>
      <c r="B90" s="269"/>
      <c r="C90" s="269"/>
      <c r="D90" s="269"/>
      <c r="E90" s="269">
        <v>1080000</v>
      </c>
      <c r="F90" s="269"/>
      <c r="G90" s="268">
        <f t="shared" si="5"/>
        <v>1080000</v>
      </c>
      <c r="H90" s="1" t="s">
        <v>179</v>
      </c>
    </row>
    <row r="91" spans="1:13" ht="15.75" thickBot="1">
      <c r="A91" s="360" t="s">
        <v>311</v>
      </c>
      <c r="B91" s="269"/>
      <c r="C91" s="269"/>
      <c r="D91" s="269"/>
      <c r="E91" s="269"/>
      <c r="F91" s="269">
        <v>0</v>
      </c>
      <c r="G91" s="268">
        <f t="shared" si="5"/>
        <v>0</v>
      </c>
      <c r="H91" s="104" t="s">
        <v>176</v>
      </c>
      <c r="I91" s="104"/>
    </row>
    <row r="92" spans="1:13" ht="15.75" thickBot="1">
      <c r="A92" s="360" t="s">
        <v>85</v>
      </c>
      <c r="B92" s="269"/>
      <c r="C92" s="269"/>
      <c r="D92" s="269"/>
      <c r="E92" s="269"/>
      <c r="F92" s="269"/>
      <c r="G92" s="268">
        <f t="shared" si="5"/>
        <v>0</v>
      </c>
      <c r="H92" s="1" t="s">
        <v>179</v>
      </c>
    </row>
    <row r="93" spans="1:13" s="1" customFormat="1" ht="15.75" thickBot="1">
      <c r="A93" s="360" t="s">
        <v>33</v>
      </c>
      <c r="B93" s="269">
        <v>200000</v>
      </c>
      <c r="C93" s="269"/>
      <c r="D93" s="269"/>
      <c r="E93" s="269"/>
      <c r="F93" s="269"/>
      <c r="G93" s="268">
        <f t="shared" si="5"/>
        <v>200000</v>
      </c>
    </row>
    <row r="94" spans="1:13" s="1" customFormat="1" ht="15.75" thickBot="1">
      <c r="A94" s="259" t="s">
        <v>98</v>
      </c>
      <c r="B94" s="269">
        <v>233500</v>
      </c>
      <c r="C94" s="269">
        <v>233500</v>
      </c>
      <c r="D94" s="269">
        <v>233500</v>
      </c>
      <c r="E94" s="269"/>
      <c r="F94" s="269">
        <v>233500</v>
      </c>
      <c r="G94" s="268">
        <f t="shared" si="5"/>
        <v>934000</v>
      </c>
      <c r="H94" s="104" t="s">
        <v>181</v>
      </c>
      <c r="I94" s="104"/>
      <c r="J94" s="104"/>
    </row>
    <row r="95" spans="1:13" s="1" customFormat="1" ht="15.75" thickBot="1">
      <c r="A95" s="259" t="s">
        <v>299</v>
      </c>
      <c r="B95" s="269"/>
      <c r="C95" s="269">
        <v>50000</v>
      </c>
      <c r="D95" s="269">
        <v>40000</v>
      </c>
      <c r="E95" s="269"/>
      <c r="F95" s="269">
        <v>40000</v>
      </c>
      <c r="G95" s="268">
        <f t="shared" si="5"/>
        <v>130000</v>
      </c>
      <c r="H95" s="104" t="s">
        <v>177</v>
      </c>
      <c r="I95" s="104"/>
      <c r="J95" s="104"/>
    </row>
    <row r="96" spans="1:13" s="1" customFormat="1" ht="15.75" thickBot="1">
      <c r="A96" s="259" t="s">
        <v>293</v>
      </c>
      <c r="B96" s="269"/>
      <c r="C96" s="269"/>
      <c r="D96" s="269"/>
      <c r="E96" s="269"/>
      <c r="F96" s="269"/>
      <c r="G96" s="268">
        <f t="shared" si="5"/>
        <v>0</v>
      </c>
    </row>
    <row r="97" spans="1:9" s="1" customFormat="1" ht="15.75" thickBot="1">
      <c r="A97" s="259" t="s">
        <v>101</v>
      </c>
      <c r="B97" s="269"/>
      <c r="C97" s="269"/>
      <c r="D97" s="269"/>
      <c r="E97" s="269"/>
      <c r="F97" s="269"/>
      <c r="G97" s="268">
        <f t="shared" si="5"/>
        <v>0</v>
      </c>
      <c r="H97" s="1" t="s">
        <v>179</v>
      </c>
    </row>
    <row r="98" spans="1:9" s="1" customFormat="1" ht="15.75" thickBot="1">
      <c r="A98" s="274" t="s">
        <v>296</v>
      </c>
      <c r="B98" s="269"/>
      <c r="C98" s="269">
        <v>10000</v>
      </c>
      <c r="D98" s="269"/>
      <c r="E98" s="269"/>
      <c r="F98" s="269"/>
      <c r="G98" s="268">
        <f t="shared" si="5"/>
        <v>10000</v>
      </c>
      <c r="H98" s="104"/>
      <c r="I98" s="104"/>
    </row>
    <row r="99" spans="1:9" s="1" customFormat="1" ht="15.75" thickBot="1">
      <c r="A99" s="259" t="s">
        <v>304</v>
      </c>
      <c r="B99" s="269"/>
      <c r="C99" s="269"/>
      <c r="D99" s="269"/>
      <c r="E99" s="269"/>
      <c r="F99" s="269"/>
      <c r="G99" s="268">
        <f t="shared" si="5"/>
        <v>0</v>
      </c>
      <c r="H99" s="104"/>
      <c r="I99" s="104"/>
    </row>
    <row r="100" spans="1:9" s="1" customFormat="1" ht="15.75" thickBot="1">
      <c r="A100" s="259" t="s">
        <v>99</v>
      </c>
      <c r="B100" s="269"/>
      <c r="C100" s="269"/>
      <c r="D100" s="269"/>
      <c r="E100" s="269"/>
      <c r="F100" s="269"/>
      <c r="G100" s="268">
        <f t="shared" si="5"/>
        <v>0</v>
      </c>
      <c r="H100" s="1" t="s">
        <v>179</v>
      </c>
    </row>
    <row r="101" spans="1:9" s="1" customFormat="1" ht="15.75" thickBot="1">
      <c r="A101" s="259" t="s">
        <v>110</v>
      </c>
      <c r="B101" s="269"/>
      <c r="C101" s="269"/>
      <c r="D101" s="269"/>
      <c r="E101" s="269"/>
      <c r="F101" s="269"/>
      <c r="G101" s="268">
        <f t="shared" si="5"/>
        <v>0</v>
      </c>
    </row>
    <row r="102" spans="1:9" s="1" customFormat="1" ht="15.75" thickBot="1">
      <c r="A102" s="259" t="s">
        <v>111</v>
      </c>
      <c r="B102" s="269"/>
      <c r="C102" s="269"/>
      <c r="D102" s="269"/>
      <c r="E102" s="269"/>
      <c r="F102" s="269"/>
      <c r="G102" s="268">
        <f t="shared" si="5"/>
        <v>0</v>
      </c>
      <c r="H102" s="1" t="s">
        <v>179</v>
      </c>
    </row>
    <row r="103" spans="1:9" s="1" customFormat="1" ht="15.75" thickBot="1">
      <c r="A103" s="259" t="s">
        <v>257</v>
      </c>
      <c r="B103" s="269"/>
      <c r="C103" s="269"/>
      <c r="D103" s="269"/>
      <c r="E103" s="269"/>
      <c r="F103" s="269"/>
      <c r="G103" s="268">
        <f t="shared" si="5"/>
        <v>0</v>
      </c>
    </row>
    <row r="104" spans="1:9" ht="15.75" thickBot="1">
      <c r="A104" s="259" t="s">
        <v>64</v>
      </c>
      <c r="B104" s="270">
        <f t="shared" ref="B104:F104" si="6">SUM(B69:B103)</f>
        <v>931000</v>
      </c>
      <c r="C104" s="270">
        <f t="shared" si="6"/>
        <v>613500</v>
      </c>
      <c r="D104" s="270">
        <f t="shared" si="6"/>
        <v>273500</v>
      </c>
      <c r="E104" s="270">
        <f t="shared" si="6"/>
        <v>3180000</v>
      </c>
      <c r="F104" s="270">
        <f t="shared" si="6"/>
        <v>1043500</v>
      </c>
      <c r="G104" s="270">
        <f>SUM(G69:G103)</f>
        <v>6041500</v>
      </c>
    </row>
    <row r="105" spans="1:9" s="1" customFormat="1" ht="15.75" thickBot="1">
      <c r="A105" s="259" t="s">
        <v>306</v>
      </c>
      <c r="B105" s="272"/>
      <c r="C105" s="272"/>
      <c r="D105" s="272"/>
      <c r="E105" s="272"/>
      <c r="F105" s="272"/>
      <c r="G105" s="272"/>
    </row>
    <row r="106" spans="1:9" ht="15.75" thickBot="1">
      <c r="A106" s="259" t="s">
        <v>65</v>
      </c>
      <c r="B106" s="269"/>
      <c r="C106" s="269">
        <v>5000</v>
      </c>
      <c r="D106" s="269">
        <v>0</v>
      </c>
      <c r="E106" s="269">
        <v>15000</v>
      </c>
      <c r="F106" s="269">
        <v>30000</v>
      </c>
      <c r="G106" s="268">
        <f t="shared" ref="G106:G113" si="7">SUM(B106:F106)</f>
        <v>50000</v>
      </c>
      <c r="H106" s="1" t="s">
        <v>180</v>
      </c>
    </row>
    <row r="107" spans="1:9" ht="15.75" thickBot="1">
      <c r="A107" s="259" t="s">
        <v>66</v>
      </c>
      <c r="B107" s="269"/>
      <c r="C107" s="269">
        <v>20000</v>
      </c>
      <c r="D107" s="269">
        <v>25000</v>
      </c>
      <c r="E107" s="269">
        <v>40000</v>
      </c>
      <c r="F107" s="269">
        <v>40000</v>
      </c>
      <c r="G107" s="268">
        <f t="shared" si="7"/>
        <v>125000</v>
      </c>
      <c r="H107" s="1" t="s">
        <v>180</v>
      </c>
    </row>
    <row r="108" spans="1:9" ht="15.75" thickBot="1">
      <c r="A108" s="259" t="s">
        <v>404</v>
      </c>
      <c r="B108" s="269">
        <v>500000</v>
      </c>
      <c r="C108" s="269"/>
      <c r="D108" s="269"/>
      <c r="E108" s="269"/>
      <c r="F108" s="269"/>
      <c r="G108" s="268">
        <f t="shared" si="7"/>
        <v>500000</v>
      </c>
      <c r="H108" s="1" t="s">
        <v>180</v>
      </c>
    </row>
    <row r="109" spans="1:9" ht="15.75" thickBot="1">
      <c r="A109" s="259" t="s">
        <v>409</v>
      </c>
      <c r="B109" s="269">
        <v>570000</v>
      </c>
      <c r="C109" s="269"/>
      <c r="D109" s="269">
        <v>0</v>
      </c>
      <c r="E109" s="269"/>
      <c r="F109" s="269"/>
      <c r="G109" s="268">
        <f t="shared" si="7"/>
        <v>570000</v>
      </c>
      <c r="H109" s="1" t="s">
        <v>180</v>
      </c>
    </row>
    <row r="110" spans="1:9" ht="15.75" thickBot="1">
      <c r="A110" s="259" t="s">
        <v>295</v>
      </c>
      <c r="B110" s="269"/>
      <c r="C110" s="269"/>
      <c r="D110" s="269"/>
      <c r="E110" s="269">
        <f>'Revenue Allocation'!E27</f>
        <v>1852000</v>
      </c>
      <c r="F110" s="269"/>
      <c r="G110" s="268">
        <f t="shared" si="7"/>
        <v>1852000</v>
      </c>
      <c r="H110" s="1" t="s">
        <v>180</v>
      </c>
    </row>
    <row r="111" spans="1:9" ht="15.75" thickBot="1">
      <c r="A111" s="259" t="s">
        <v>67</v>
      </c>
      <c r="B111" s="269"/>
      <c r="C111" s="269"/>
      <c r="D111" s="269"/>
      <c r="E111" s="269"/>
      <c r="F111" s="269"/>
      <c r="G111" s="268">
        <f t="shared" si="7"/>
        <v>0</v>
      </c>
    </row>
    <row r="112" spans="1:9" s="1" customFormat="1" ht="15.75" thickBot="1">
      <c r="A112" s="259" t="s">
        <v>398</v>
      </c>
      <c r="B112" s="269"/>
      <c r="C112" s="269"/>
      <c r="D112" s="269"/>
      <c r="E112" s="269"/>
      <c r="F112" s="269">
        <v>0</v>
      </c>
      <c r="G112" s="268">
        <f t="shared" si="7"/>
        <v>0</v>
      </c>
    </row>
    <row r="113" spans="1:11" s="1" customFormat="1" ht="15.75" thickBot="1">
      <c r="A113" s="259" t="s">
        <v>406</v>
      </c>
      <c r="B113" s="269"/>
      <c r="C113" s="269"/>
      <c r="D113" s="269"/>
      <c r="E113" s="269"/>
      <c r="F113" s="269">
        <v>500000</v>
      </c>
      <c r="G113" s="268">
        <f t="shared" si="7"/>
        <v>500000</v>
      </c>
      <c r="H113" s="1" t="s">
        <v>180</v>
      </c>
    </row>
    <row r="114" spans="1:11" s="1" customFormat="1" ht="15.75" thickBot="1">
      <c r="A114" s="259" t="s">
        <v>112</v>
      </c>
      <c r="B114" s="269"/>
      <c r="C114" s="269"/>
      <c r="D114" s="269"/>
      <c r="E114" s="269"/>
      <c r="F114" s="269"/>
      <c r="G114" s="268"/>
      <c r="H114" s="1" t="s">
        <v>180</v>
      </c>
    </row>
    <row r="115" spans="1:11" ht="15.75" thickBot="1">
      <c r="A115" s="382" t="s">
        <v>68</v>
      </c>
      <c r="B115" s="380">
        <f t="shared" ref="B115:F115" si="8">SUM(B106:B114)</f>
        <v>1070000</v>
      </c>
      <c r="C115" s="380">
        <f t="shared" si="8"/>
        <v>25000</v>
      </c>
      <c r="D115" s="380">
        <f t="shared" si="8"/>
        <v>25000</v>
      </c>
      <c r="E115" s="380">
        <f t="shared" si="8"/>
        <v>1907000</v>
      </c>
      <c r="F115" s="380">
        <f t="shared" si="8"/>
        <v>570000</v>
      </c>
      <c r="G115" s="380">
        <f>SUM(G106:G114)</f>
        <v>3597000</v>
      </c>
      <c r="K115" s="5">
        <f>G115-1852000</f>
        <v>1745000</v>
      </c>
    </row>
    <row r="116" spans="1:11" ht="15.75" thickBot="1">
      <c r="A116" s="12"/>
      <c r="B116" s="208"/>
      <c r="C116" s="267"/>
      <c r="D116" s="267"/>
      <c r="E116" s="267"/>
      <c r="F116" s="267"/>
      <c r="G116" s="208"/>
      <c r="H116" s="5"/>
    </row>
    <row r="117" spans="1:11" ht="15.75" thickBot="1">
      <c r="A117" s="63" t="s">
        <v>92</v>
      </c>
      <c r="B117" s="212">
        <f t="shared" ref="B117:F117" si="9">B115+B104+B67+B54+B7</f>
        <v>11300140.48</v>
      </c>
      <c r="C117" s="212">
        <f t="shared" si="9"/>
        <v>10030074.330587411</v>
      </c>
      <c r="D117" s="212">
        <f t="shared" si="9"/>
        <v>19042370.318232566</v>
      </c>
      <c r="E117" s="212">
        <f t="shared" si="9"/>
        <v>13806724.017077569</v>
      </c>
      <c r="F117" s="212">
        <f t="shared" si="9"/>
        <v>12354570.262233792</v>
      </c>
      <c r="G117" s="212">
        <f>G115+G104+G67+G54+G7</f>
        <v>66533879.408131346</v>
      </c>
      <c r="H117" s="36"/>
    </row>
    <row r="118" spans="1:11" hidden="1"/>
    <row r="119" spans="1:11" ht="15.75" hidden="1" thickBot="1">
      <c r="A119" s="62" t="s">
        <v>81</v>
      </c>
      <c r="B119" s="213" t="e">
        <f>#REF!</f>
        <v>#REF!</v>
      </c>
      <c r="C119" s="273" t="e">
        <f>#REF!</f>
        <v>#REF!</v>
      </c>
      <c r="D119" s="273" t="e">
        <f>#REF!</f>
        <v>#REF!</v>
      </c>
      <c r="E119" s="273" t="e">
        <f>#REF!</f>
        <v>#REF!</v>
      </c>
      <c r="F119" s="273" t="e">
        <f>#REF!</f>
        <v>#REF!</v>
      </c>
      <c r="G119" s="213" t="e">
        <f>#REF!+#REF!+#REF!+#REF!+#REF!</f>
        <v>#REF!</v>
      </c>
      <c r="J119" s="36"/>
      <c r="K119" s="5" t="e">
        <f>G117-#REF!</f>
        <v>#REF!</v>
      </c>
    </row>
    <row r="120" spans="1:11" ht="15.75" hidden="1" thickBot="1"/>
    <row r="121" spans="1:11" ht="15.75" hidden="1" thickBot="1">
      <c r="A121" s="62" t="s">
        <v>36</v>
      </c>
      <c r="B121" s="213" t="e">
        <f t="shared" ref="B121:G121" si="10">+B117-B119</f>
        <v>#REF!</v>
      </c>
      <c r="C121" s="273" t="e">
        <f t="shared" si="10"/>
        <v>#REF!</v>
      </c>
      <c r="D121" s="273" t="e">
        <f t="shared" si="10"/>
        <v>#REF!</v>
      </c>
      <c r="E121" s="273" t="e">
        <f t="shared" si="10"/>
        <v>#REF!</v>
      </c>
      <c r="F121" s="273" t="e">
        <f t="shared" si="10"/>
        <v>#REF!</v>
      </c>
      <c r="G121" s="213" t="e">
        <f t="shared" si="10"/>
        <v>#REF!</v>
      </c>
      <c r="H121" s="5"/>
      <c r="I121" s="36"/>
    </row>
    <row r="122" spans="1:11" ht="15.75" thickBot="1"/>
    <row r="123" spans="1:11" ht="15.75" thickBot="1">
      <c r="A123" s="62" t="s">
        <v>327</v>
      </c>
      <c r="B123" s="213">
        <f>'Revenue Allocation'!B30</f>
        <v>8998331.8584070802</v>
      </c>
      <c r="C123" s="273">
        <f>'Revenue Allocation'!C30</f>
        <v>6379623.8938053101</v>
      </c>
      <c r="D123" s="273">
        <f>'Revenue Allocation'!D30</f>
        <v>22259997.108318586</v>
      </c>
      <c r="E123" s="273">
        <f>'Revenue Allocation'!E30</f>
        <v>11639008.849557523</v>
      </c>
      <c r="F123" s="273">
        <f>'Revenue Allocation'!F30</f>
        <v>14928408.219911505</v>
      </c>
      <c r="G123" s="213">
        <f>SUM(B123:F123)</f>
        <v>64205369.929999992</v>
      </c>
    </row>
    <row r="124" spans="1:11" ht="15.75" thickBot="1">
      <c r="H124" s="5"/>
    </row>
    <row r="125" spans="1:11" ht="15.75" thickBot="1">
      <c r="A125" s="62" t="s">
        <v>36</v>
      </c>
      <c r="B125" s="213">
        <f t="shared" ref="B125:G125" si="11">B123-B117</f>
        <v>-2301808.6215929203</v>
      </c>
      <c r="C125" s="213">
        <f t="shared" si="11"/>
        <v>-3650450.4367821012</v>
      </c>
      <c r="D125" s="213">
        <f t="shared" si="11"/>
        <v>3217626.7900860198</v>
      </c>
      <c r="E125" s="213">
        <f>E123-E117</f>
        <v>-2167715.1675200462</v>
      </c>
      <c r="F125" s="213">
        <f t="shared" si="11"/>
        <v>2573837.9576777127</v>
      </c>
      <c r="G125" s="385">
        <f t="shared" si="11"/>
        <v>-2328509.4781313539</v>
      </c>
    </row>
  </sheetData>
  <dataValidations disablePrompts="1" count="1">
    <dataValidation type="decimal" allowBlank="1" showInputMessage="1" showErrorMessage="1" sqref="L78">
      <formula1>-999999999999999</formula1>
      <formula2>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6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0" zoomScaleNormal="90" workbookViewId="0">
      <selection activeCell="M19" sqref="M19"/>
    </sheetView>
  </sheetViews>
  <sheetFormatPr defaultRowHeight="15"/>
  <cols>
    <col min="3" max="3" width="12.85546875" customWidth="1"/>
    <col min="5" max="5" width="17" customWidth="1"/>
    <col min="13" max="13" width="16.140625" customWidth="1"/>
  </cols>
  <sheetData>
    <row r="1" spans="1:13">
      <c r="A1" s="129" t="s">
        <v>343</v>
      </c>
    </row>
    <row r="3" spans="1:13" ht="15.75" thickBot="1">
      <c r="A3" s="362" t="s">
        <v>344</v>
      </c>
      <c r="B3" s="362"/>
      <c r="C3" s="362"/>
      <c r="D3" s="115"/>
      <c r="E3" s="1"/>
      <c r="I3" s="362" t="s">
        <v>370</v>
      </c>
      <c r="J3" s="362"/>
      <c r="K3" s="362"/>
      <c r="L3" s="115"/>
      <c r="M3" s="1"/>
    </row>
    <row r="4" spans="1:13">
      <c r="A4" s="363"/>
      <c r="B4" s="364" t="s">
        <v>345</v>
      </c>
      <c r="C4" s="364" t="s">
        <v>346</v>
      </c>
      <c r="D4" s="364" t="s">
        <v>123</v>
      </c>
      <c r="E4" s="365" t="s">
        <v>347</v>
      </c>
      <c r="I4" s="363"/>
      <c r="J4" s="364" t="s">
        <v>345</v>
      </c>
      <c r="K4" s="364" t="s">
        <v>346</v>
      </c>
      <c r="L4" s="364" t="s">
        <v>123</v>
      </c>
      <c r="M4" s="365" t="s">
        <v>347</v>
      </c>
    </row>
    <row r="5" spans="1:13" ht="15.75" thickBot="1">
      <c r="A5" s="366"/>
      <c r="B5" s="367" t="s">
        <v>348</v>
      </c>
      <c r="C5" s="367" t="s">
        <v>349</v>
      </c>
      <c r="D5" s="367" t="s">
        <v>346</v>
      </c>
      <c r="E5" s="368" t="s">
        <v>350</v>
      </c>
      <c r="I5" s="366"/>
      <c r="J5" s="367" t="s">
        <v>348</v>
      </c>
      <c r="K5" s="367" t="s">
        <v>349</v>
      </c>
      <c r="L5" s="367" t="s">
        <v>346</v>
      </c>
      <c r="M5" s="368" t="s">
        <v>350</v>
      </c>
    </row>
    <row r="6" spans="1:13">
      <c r="A6" s="369" t="s">
        <v>351</v>
      </c>
      <c r="B6" s="370">
        <v>250</v>
      </c>
      <c r="C6" s="370">
        <v>16</v>
      </c>
      <c r="D6" s="370">
        <f>C11</f>
        <v>113</v>
      </c>
      <c r="E6" s="371">
        <f>+C6/D6*E11</f>
        <v>3947044.2477876106</v>
      </c>
      <c r="I6" s="369" t="s">
        <v>366</v>
      </c>
      <c r="J6" s="370">
        <v>250</v>
      </c>
      <c r="K6" s="370">
        <v>7</v>
      </c>
      <c r="L6" s="370">
        <f>K11</f>
        <v>41</v>
      </c>
      <c r="M6" s="371">
        <f>+K6/L6*M11</f>
        <v>3800487.3111763443</v>
      </c>
    </row>
    <row r="7" spans="1:13">
      <c r="A7" s="372" t="s">
        <v>40</v>
      </c>
      <c r="B7" s="373" t="s">
        <v>352</v>
      </c>
      <c r="C7" s="374">
        <v>12</v>
      </c>
      <c r="D7" s="370">
        <f>C11</f>
        <v>113</v>
      </c>
      <c r="E7" s="371">
        <f>+C7/D7*E11</f>
        <v>2960283.1858407077</v>
      </c>
      <c r="I7" s="372" t="s">
        <v>367</v>
      </c>
      <c r="J7" s="373" t="s">
        <v>352</v>
      </c>
      <c r="K7" s="374">
        <v>9</v>
      </c>
      <c r="L7" s="370">
        <f>K11</f>
        <v>41</v>
      </c>
      <c r="M7" s="371">
        <f>+K7/L7*M11</f>
        <v>4886340.8286552997</v>
      </c>
    </row>
    <row r="8" spans="1:13">
      <c r="A8" s="372" t="s">
        <v>41</v>
      </c>
      <c r="B8" s="374">
        <v>150</v>
      </c>
      <c r="C8" s="374">
        <v>42</v>
      </c>
      <c r="D8" s="370">
        <f>C11</f>
        <v>113</v>
      </c>
      <c r="E8" s="371">
        <f>+C8/D8*E11</f>
        <v>10360991.150442479</v>
      </c>
      <c r="I8" s="372" t="s">
        <v>368</v>
      </c>
      <c r="J8" s="374">
        <v>150</v>
      </c>
      <c r="K8" s="374">
        <v>22</v>
      </c>
      <c r="L8" s="370">
        <f>K11</f>
        <v>41</v>
      </c>
      <c r="M8" s="371">
        <f>+K8/L8*M11</f>
        <v>11944388.692268509</v>
      </c>
    </row>
    <row r="9" spans="1:13">
      <c r="A9" s="372" t="s">
        <v>353</v>
      </c>
      <c r="B9" s="374">
        <v>100</v>
      </c>
      <c r="C9" s="374">
        <v>17</v>
      </c>
      <c r="D9" s="370">
        <f>C11</f>
        <v>113</v>
      </c>
      <c r="E9" s="371">
        <f>C9/D9*E11</f>
        <v>4193734.5132743367</v>
      </c>
      <c r="I9" s="372" t="s">
        <v>369</v>
      </c>
      <c r="J9" s="374">
        <v>100</v>
      </c>
      <c r="K9" s="374">
        <v>3</v>
      </c>
      <c r="L9" s="370">
        <f>K11</f>
        <v>41</v>
      </c>
      <c r="M9" s="371">
        <f>K9/L9*M11</f>
        <v>1628780.2762184329</v>
      </c>
    </row>
    <row r="10" spans="1:13">
      <c r="A10" s="372" t="s">
        <v>354</v>
      </c>
      <c r="B10" s="374">
        <v>200</v>
      </c>
      <c r="C10" s="374">
        <v>26</v>
      </c>
      <c r="D10" s="370">
        <f>C11</f>
        <v>113</v>
      </c>
      <c r="E10" s="371">
        <f>+C10/D10*E11</f>
        <v>6413946.9026548676</v>
      </c>
      <c r="I10" s="372"/>
      <c r="J10" s="374"/>
      <c r="K10" s="374"/>
      <c r="L10" s="370"/>
      <c r="M10" s="371"/>
    </row>
    <row r="11" spans="1:13">
      <c r="A11" s="375" t="s">
        <v>123</v>
      </c>
      <c r="B11" s="376"/>
      <c r="C11" s="375">
        <f>SUM(C6:C10)</f>
        <v>113</v>
      </c>
      <c r="D11" s="375">
        <f>C11</f>
        <v>113</v>
      </c>
      <c r="E11" s="377">
        <v>27876000</v>
      </c>
      <c r="I11" s="375" t="s">
        <v>123</v>
      </c>
      <c r="J11" s="376"/>
      <c r="K11" s="375">
        <f>SUM(K6:K10)</f>
        <v>41</v>
      </c>
      <c r="L11" s="375">
        <f>K11</f>
        <v>41</v>
      </c>
      <c r="M11" s="377">
        <v>22259997.108318586</v>
      </c>
    </row>
    <row r="12" spans="1:13">
      <c r="A12" s="1"/>
      <c r="B12" s="1"/>
      <c r="C12" s="1"/>
      <c r="D12" s="1"/>
      <c r="E12" s="1"/>
    </row>
    <row r="13" spans="1:13" ht="15.75" thickBot="1">
      <c r="A13" s="362" t="s">
        <v>355</v>
      </c>
      <c r="B13" s="362"/>
      <c r="C13" s="362"/>
      <c r="D13" s="115"/>
      <c r="E13" s="1"/>
    </row>
    <row r="14" spans="1:13" ht="15.75" thickBot="1">
      <c r="A14" s="363"/>
      <c r="B14" s="364" t="s">
        <v>345</v>
      </c>
      <c r="C14" s="364" t="s">
        <v>346</v>
      </c>
      <c r="D14" s="364" t="s">
        <v>123</v>
      </c>
      <c r="E14" s="365" t="s">
        <v>347</v>
      </c>
      <c r="I14" s="362" t="s">
        <v>371</v>
      </c>
      <c r="J14" s="362"/>
      <c r="K14" s="362"/>
      <c r="L14" s="115"/>
      <c r="M14" s="1"/>
    </row>
    <row r="15" spans="1:13" ht="15.75" thickBot="1">
      <c r="A15" s="366"/>
      <c r="B15" s="367" t="s">
        <v>348</v>
      </c>
      <c r="C15" s="367" t="s">
        <v>349</v>
      </c>
      <c r="D15" s="367" t="s">
        <v>346</v>
      </c>
      <c r="E15" s="368" t="s">
        <v>350</v>
      </c>
      <c r="I15" s="363"/>
      <c r="J15" s="364" t="s">
        <v>345</v>
      </c>
      <c r="K15" s="364" t="s">
        <v>346</v>
      </c>
      <c r="L15" s="364" t="s">
        <v>123</v>
      </c>
      <c r="M15" s="365" t="s">
        <v>347</v>
      </c>
    </row>
    <row r="16" spans="1:13" ht="15.75" thickBot="1">
      <c r="A16" s="369" t="s">
        <v>351</v>
      </c>
      <c r="B16" s="370">
        <v>250</v>
      </c>
      <c r="C16" s="370">
        <v>16</v>
      </c>
      <c r="D16" s="370">
        <f>C21</f>
        <v>113</v>
      </c>
      <c r="E16" s="371">
        <f>+C16/D16*E21</f>
        <v>4247787.6106194686</v>
      </c>
      <c r="I16" s="366"/>
      <c r="J16" s="367" t="s">
        <v>348</v>
      </c>
      <c r="K16" s="367" t="s">
        <v>349</v>
      </c>
      <c r="L16" s="367" t="s">
        <v>346</v>
      </c>
      <c r="M16" s="368" t="s">
        <v>350</v>
      </c>
    </row>
    <row r="17" spans="1:13">
      <c r="A17" s="372" t="s">
        <v>40</v>
      </c>
      <c r="B17" s="373" t="s">
        <v>352</v>
      </c>
      <c r="C17" s="374">
        <v>12</v>
      </c>
      <c r="D17" s="370">
        <f>C21</f>
        <v>113</v>
      </c>
      <c r="E17" s="371">
        <f>+C17/D17*E21</f>
        <v>3185840.7079646019</v>
      </c>
      <c r="I17" s="369" t="s">
        <v>366</v>
      </c>
      <c r="J17" s="370">
        <v>250</v>
      </c>
      <c r="K17" s="370">
        <v>7</v>
      </c>
      <c r="L17" s="370">
        <f>K22</f>
        <v>41</v>
      </c>
      <c r="M17" s="371">
        <f>+K17/L17*M22</f>
        <v>3201754.1745312852</v>
      </c>
    </row>
    <row r="18" spans="1:13">
      <c r="A18" s="372" t="s">
        <v>41</v>
      </c>
      <c r="B18" s="374">
        <v>150</v>
      </c>
      <c r="C18" s="374">
        <v>42</v>
      </c>
      <c r="D18" s="370">
        <f>C21</f>
        <v>113</v>
      </c>
      <c r="E18" s="371">
        <f>+C18/D18*E21</f>
        <v>11150442.477876106</v>
      </c>
      <c r="I18" s="372" t="s">
        <v>367</v>
      </c>
      <c r="J18" s="373" t="s">
        <v>352</v>
      </c>
      <c r="K18" s="374">
        <v>9</v>
      </c>
      <c r="L18" s="370">
        <f>K22</f>
        <v>41</v>
      </c>
      <c r="M18" s="371">
        <f>+K18/L18*M22</f>
        <v>4116541.0815402232</v>
      </c>
    </row>
    <row r="19" spans="1:13">
      <c r="A19" s="372" t="s">
        <v>353</v>
      </c>
      <c r="B19" s="374">
        <v>100</v>
      </c>
      <c r="C19" s="374">
        <v>17</v>
      </c>
      <c r="D19" s="370">
        <f>C21</f>
        <v>113</v>
      </c>
      <c r="E19" s="371">
        <f>C19/D19*E21</f>
        <v>4513274.3362831865</v>
      </c>
      <c r="I19" s="372" t="s">
        <v>368</v>
      </c>
      <c r="J19" s="374">
        <v>150</v>
      </c>
      <c r="K19" s="374">
        <v>22</v>
      </c>
      <c r="L19" s="370">
        <f>K22</f>
        <v>41</v>
      </c>
      <c r="M19" s="371">
        <f>+K19/L19*M22</f>
        <v>10062655.977098323</v>
      </c>
    </row>
    <row r="20" spans="1:13">
      <c r="A20" s="372" t="s">
        <v>354</v>
      </c>
      <c r="B20" s="374">
        <v>200</v>
      </c>
      <c r="C20" s="374">
        <v>26</v>
      </c>
      <c r="D20" s="370">
        <f>C21</f>
        <v>113</v>
      </c>
      <c r="E20" s="371">
        <f>+C20/D20*E21</f>
        <v>6902654.8672566367</v>
      </c>
      <c r="I20" s="372" t="s">
        <v>369</v>
      </c>
      <c r="J20" s="374">
        <v>100</v>
      </c>
      <c r="K20" s="374">
        <v>3</v>
      </c>
      <c r="L20" s="370">
        <f>K22</f>
        <v>41</v>
      </c>
      <c r="M20" s="371">
        <f>K20/L20*M22</f>
        <v>1372180.3605134077</v>
      </c>
    </row>
    <row r="21" spans="1:13">
      <c r="A21" s="375" t="s">
        <v>123</v>
      </c>
      <c r="B21" s="376"/>
      <c r="C21" s="375">
        <f>SUM(C16:C20)</f>
        <v>113</v>
      </c>
      <c r="D21" s="375">
        <f>C21</f>
        <v>113</v>
      </c>
      <c r="E21" s="377">
        <v>30000000</v>
      </c>
      <c r="I21" s="372"/>
      <c r="J21" s="374"/>
      <c r="K21" s="374"/>
      <c r="L21" s="370"/>
      <c r="M21" s="371"/>
    </row>
    <row r="22" spans="1:13">
      <c r="A22" s="1"/>
      <c r="B22" s="1"/>
      <c r="C22" s="1"/>
      <c r="D22" s="1"/>
      <c r="E22" s="1"/>
      <c r="I22" s="375" t="s">
        <v>123</v>
      </c>
      <c r="J22" s="376"/>
      <c r="K22" s="375">
        <f>SUM(K17:K21)</f>
        <v>41</v>
      </c>
      <c r="L22" s="375">
        <f>K22</f>
        <v>41</v>
      </c>
      <c r="M22" s="377">
        <v>18753131.593683239</v>
      </c>
    </row>
    <row r="23" spans="1:13">
      <c r="A23" s="1"/>
      <c r="B23" s="1"/>
      <c r="C23" s="1"/>
      <c r="D23" s="1"/>
      <c r="E23" s="1"/>
    </row>
    <row r="24" spans="1:13" ht="15.75" thickBot="1">
      <c r="A24" s="362" t="s">
        <v>364</v>
      </c>
      <c r="B24" s="362"/>
      <c r="C24" s="362"/>
      <c r="D24" s="115"/>
      <c r="E24" s="1"/>
    </row>
    <row r="25" spans="1:13" ht="15.75" thickBot="1">
      <c r="A25" s="363"/>
      <c r="B25" s="364" t="s">
        <v>345</v>
      </c>
      <c r="C25" s="364" t="s">
        <v>346</v>
      </c>
      <c r="D25" s="364" t="s">
        <v>123</v>
      </c>
      <c r="E25" s="365" t="s">
        <v>347</v>
      </c>
      <c r="I25" s="362" t="s">
        <v>373</v>
      </c>
      <c r="J25" s="362"/>
      <c r="K25" s="362"/>
      <c r="L25" s="115"/>
      <c r="M25" s="1"/>
    </row>
    <row r="26" spans="1:13" ht="15.75" thickBot="1">
      <c r="A26" s="366"/>
      <c r="B26" s="367" t="s">
        <v>348</v>
      </c>
      <c r="C26" s="367" t="s">
        <v>349</v>
      </c>
      <c r="D26" s="367" t="s">
        <v>346</v>
      </c>
      <c r="E26" s="368" t="s">
        <v>350</v>
      </c>
      <c r="I26" s="363"/>
      <c r="J26" s="364" t="s">
        <v>345</v>
      </c>
      <c r="K26" s="364" t="s">
        <v>346</v>
      </c>
      <c r="L26" s="364" t="s">
        <v>123</v>
      </c>
      <c r="M26" s="365" t="s">
        <v>347</v>
      </c>
    </row>
    <row r="27" spans="1:13" ht="15.75" thickBot="1">
      <c r="A27" s="369" t="s">
        <v>351</v>
      </c>
      <c r="B27" s="370">
        <v>250</v>
      </c>
      <c r="C27" s="370">
        <v>16</v>
      </c>
      <c r="D27" s="370">
        <f>C32</f>
        <v>113</v>
      </c>
      <c r="E27" s="371">
        <f>+C27/D27*E32</f>
        <v>130229.40884955751</v>
      </c>
      <c r="I27" s="366"/>
      <c r="J27" s="367" t="s">
        <v>348</v>
      </c>
      <c r="K27" s="367" t="s">
        <v>349</v>
      </c>
      <c r="L27" s="367" t="s">
        <v>346</v>
      </c>
      <c r="M27" s="368" t="s">
        <v>350</v>
      </c>
    </row>
    <row r="28" spans="1:13">
      <c r="A28" s="372" t="s">
        <v>40</v>
      </c>
      <c r="B28" s="373" t="s">
        <v>352</v>
      </c>
      <c r="C28" s="374">
        <v>12</v>
      </c>
      <c r="D28" s="370">
        <f>C32</f>
        <v>113</v>
      </c>
      <c r="E28" s="371">
        <f>+C28/D28*E32</f>
        <v>97672.056637168134</v>
      </c>
      <c r="I28" s="369" t="s">
        <v>374</v>
      </c>
      <c r="J28" s="370">
        <v>250</v>
      </c>
      <c r="K28" s="370">
        <v>4</v>
      </c>
      <c r="L28" s="370">
        <f>K33</f>
        <v>16</v>
      </c>
      <c r="M28" s="371">
        <f>+K28/L28*M33</f>
        <v>2107082.96460177</v>
      </c>
    </row>
    <row r="29" spans="1:13">
      <c r="A29" s="372" t="s">
        <v>41</v>
      </c>
      <c r="B29" s="374">
        <v>150</v>
      </c>
      <c r="C29" s="374">
        <v>42</v>
      </c>
      <c r="D29" s="370">
        <f>C32</f>
        <v>113</v>
      </c>
      <c r="E29" s="371">
        <f>+C29/D29*E32</f>
        <v>341852.19823008851</v>
      </c>
      <c r="I29" s="372" t="s">
        <v>375</v>
      </c>
      <c r="J29" s="373" t="s">
        <v>352</v>
      </c>
      <c r="K29" s="374">
        <v>1</v>
      </c>
      <c r="L29" s="370">
        <f>K33</f>
        <v>16</v>
      </c>
      <c r="M29" s="371">
        <f>+K29/L29*M33</f>
        <v>526770.74115044251</v>
      </c>
    </row>
    <row r="30" spans="1:13">
      <c r="A30" s="372" t="s">
        <v>353</v>
      </c>
      <c r="B30" s="374">
        <v>100</v>
      </c>
      <c r="C30" s="374">
        <v>17</v>
      </c>
      <c r="D30" s="370">
        <f>C32</f>
        <v>113</v>
      </c>
      <c r="E30" s="371">
        <f>C30/D30*E32</f>
        <v>138368.74690265488</v>
      </c>
      <c r="I30" s="372" t="s">
        <v>1</v>
      </c>
      <c r="J30" s="374">
        <v>150</v>
      </c>
      <c r="K30" s="374">
        <v>11</v>
      </c>
      <c r="L30" s="370">
        <f>K33</f>
        <v>16</v>
      </c>
      <c r="M30" s="371">
        <f>+K30/L30*M33</f>
        <v>5794478.1526548676</v>
      </c>
    </row>
    <row r="31" spans="1:13">
      <c r="A31" s="372" t="s">
        <v>354</v>
      </c>
      <c r="B31" s="374">
        <v>200</v>
      </c>
      <c r="C31" s="374">
        <v>26</v>
      </c>
      <c r="D31" s="370">
        <f>C32</f>
        <v>113</v>
      </c>
      <c r="E31" s="371">
        <f>+C31/D31*E32</f>
        <v>211622.78938053097</v>
      </c>
      <c r="I31" s="372"/>
      <c r="J31" s="374"/>
      <c r="K31" s="374"/>
      <c r="L31" s="370"/>
      <c r="M31" s="371"/>
    </row>
    <row r="32" spans="1:13">
      <c r="A32" s="375" t="s">
        <v>123</v>
      </c>
      <c r="B32" s="376"/>
      <c r="C32" s="375">
        <f>SUM(C27:C31)</f>
        <v>113</v>
      </c>
      <c r="D32" s="375">
        <f>C32</f>
        <v>113</v>
      </c>
      <c r="E32" s="377">
        <v>919745.2</v>
      </c>
      <c r="I32" s="372"/>
      <c r="J32" s="374"/>
      <c r="K32" s="374"/>
      <c r="L32" s="370"/>
      <c r="M32" s="371"/>
    </row>
    <row r="33" spans="1:13">
      <c r="I33" s="375" t="s">
        <v>123</v>
      </c>
      <c r="J33" s="376"/>
      <c r="K33" s="375">
        <f>SUM(K28:K32)</f>
        <v>16</v>
      </c>
      <c r="L33" s="375">
        <f>K33</f>
        <v>16</v>
      </c>
      <c r="M33" s="377">
        <v>8428331.8584070802</v>
      </c>
    </row>
    <row r="35" spans="1:13" ht="15.75" thickBot="1">
      <c r="A35" s="362" t="s">
        <v>365</v>
      </c>
      <c r="B35" s="362"/>
      <c r="C35" s="362"/>
      <c r="D35" s="115"/>
      <c r="E35" s="1"/>
    </row>
    <row r="36" spans="1:13" ht="15.75" thickBot="1">
      <c r="A36" s="363"/>
      <c r="B36" s="364" t="s">
        <v>345</v>
      </c>
      <c r="C36" s="364" t="s">
        <v>346</v>
      </c>
      <c r="D36" s="364" t="s">
        <v>123</v>
      </c>
      <c r="E36" s="365" t="s">
        <v>347</v>
      </c>
      <c r="I36" s="362" t="s">
        <v>372</v>
      </c>
      <c r="J36" s="362"/>
      <c r="K36" s="362"/>
      <c r="L36" s="115"/>
      <c r="M36" s="1"/>
    </row>
    <row r="37" spans="1:13" ht="15.75" thickBot="1">
      <c r="A37" s="366"/>
      <c r="B37" s="367" t="s">
        <v>348</v>
      </c>
      <c r="C37" s="367" t="s">
        <v>349</v>
      </c>
      <c r="D37" s="367" t="s">
        <v>346</v>
      </c>
      <c r="E37" s="368" t="s">
        <v>350</v>
      </c>
      <c r="I37" s="363"/>
      <c r="J37" s="364" t="s">
        <v>345</v>
      </c>
      <c r="K37" s="364" t="s">
        <v>346</v>
      </c>
      <c r="L37" s="364" t="s">
        <v>123</v>
      </c>
      <c r="M37" s="365" t="s">
        <v>347</v>
      </c>
    </row>
    <row r="38" spans="1:13" ht="15.75" thickBot="1">
      <c r="A38" s="369" t="s">
        <v>351</v>
      </c>
      <c r="B38" s="370">
        <v>250</v>
      </c>
      <c r="C38" s="370">
        <v>16</v>
      </c>
      <c r="D38" s="370">
        <f>C43</f>
        <v>113</v>
      </c>
      <c r="E38" s="371">
        <f>+C38/D38*E43</f>
        <v>65581.16814159292</v>
      </c>
      <c r="I38" s="366"/>
      <c r="J38" s="367" t="s">
        <v>348</v>
      </c>
      <c r="K38" s="367" t="s">
        <v>349</v>
      </c>
      <c r="L38" s="367" t="s">
        <v>346</v>
      </c>
      <c r="M38" s="368" t="s">
        <v>350</v>
      </c>
    </row>
    <row r="39" spans="1:13">
      <c r="A39" s="372" t="s">
        <v>40</v>
      </c>
      <c r="B39" s="373" t="s">
        <v>352</v>
      </c>
      <c r="C39" s="374">
        <v>12</v>
      </c>
      <c r="D39" s="370">
        <f>C43</f>
        <v>113</v>
      </c>
      <c r="E39" s="371">
        <f>+C39/D39*E43</f>
        <v>49185.876106194686</v>
      </c>
      <c r="I39" s="369" t="s">
        <v>374</v>
      </c>
      <c r="J39" s="370">
        <v>250</v>
      </c>
      <c r="K39" s="370">
        <v>7</v>
      </c>
      <c r="L39" s="370">
        <f>K44</f>
        <v>38</v>
      </c>
      <c r="M39" s="371">
        <f>+K39/L39*M44</f>
        <v>1976604.825263158</v>
      </c>
    </row>
    <row r="40" spans="1:13">
      <c r="A40" s="372" t="s">
        <v>41</v>
      </c>
      <c r="B40" s="374">
        <v>150</v>
      </c>
      <c r="C40" s="374">
        <v>42</v>
      </c>
      <c r="D40" s="370">
        <f>C43</f>
        <v>113</v>
      </c>
      <c r="E40" s="371">
        <f>+C40/D40*E43</f>
        <v>172150.56637168143</v>
      </c>
      <c r="I40" s="372" t="s">
        <v>376</v>
      </c>
      <c r="J40" s="373" t="s">
        <v>352</v>
      </c>
      <c r="K40" s="374">
        <v>9</v>
      </c>
      <c r="L40" s="370">
        <f>K44</f>
        <v>38</v>
      </c>
      <c r="M40" s="371">
        <f>+K40/L40*M44</f>
        <v>2541349.0610526316</v>
      </c>
    </row>
    <row r="41" spans="1:13">
      <c r="A41" s="372" t="s">
        <v>353</v>
      </c>
      <c r="B41" s="374">
        <v>100</v>
      </c>
      <c r="C41" s="374">
        <v>17</v>
      </c>
      <c r="D41" s="370">
        <f>C43</f>
        <v>113</v>
      </c>
      <c r="E41" s="371">
        <f>C41/D41*E43</f>
        <v>69679.991150442482</v>
      </c>
      <c r="I41" s="372" t="s">
        <v>377</v>
      </c>
      <c r="J41" s="374">
        <v>150</v>
      </c>
      <c r="K41" s="374">
        <v>22</v>
      </c>
      <c r="L41" s="370">
        <f>K44</f>
        <v>38</v>
      </c>
      <c r="M41" s="371">
        <f>+K41/L41*M44</f>
        <v>6212186.5936842114</v>
      </c>
    </row>
    <row r="42" spans="1:13">
      <c r="A42" s="372" t="s">
        <v>354</v>
      </c>
      <c r="B42" s="374">
        <v>200</v>
      </c>
      <c r="C42" s="374">
        <v>26</v>
      </c>
      <c r="D42" s="370">
        <f>C43</f>
        <v>113</v>
      </c>
      <c r="E42" s="371">
        <f>+C42/D42*E43</f>
        <v>106569.3982300885</v>
      </c>
      <c r="I42" s="372"/>
      <c r="J42" s="374"/>
      <c r="K42" s="374"/>
      <c r="L42" s="370"/>
      <c r="M42" s="371"/>
    </row>
    <row r="43" spans="1:13">
      <c r="A43" s="375" t="s">
        <v>123</v>
      </c>
      <c r="B43" s="376"/>
      <c r="C43" s="375">
        <f>SUM(C38:C42)</f>
        <v>113</v>
      </c>
      <c r="D43" s="375">
        <f>C43</f>
        <v>113</v>
      </c>
      <c r="E43" s="377">
        <v>463167</v>
      </c>
      <c r="I43" s="372"/>
      <c r="J43" s="374"/>
      <c r="K43" s="374"/>
      <c r="L43" s="370"/>
      <c r="M43" s="371"/>
    </row>
    <row r="44" spans="1:13">
      <c r="I44" s="375" t="s">
        <v>123</v>
      </c>
      <c r="J44" s="376"/>
      <c r="K44" s="375">
        <f>SUM(K39:K43)</f>
        <v>38</v>
      </c>
      <c r="L44" s="375">
        <f>K44</f>
        <v>38</v>
      </c>
      <c r="M44" s="377">
        <v>10730140.48</v>
      </c>
    </row>
    <row r="51" spans="9:13" ht="15.75" thickBot="1">
      <c r="I51" s="362" t="s">
        <v>378</v>
      </c>
      <c r="J51" s="362"/>
      <c r="K51" s="362"/>
      <c r="L51" s="115"/>
      <c r="M51" s="1"/>
    </row>
    <row r="52" spans="9:13">
      <c r="I52" s="363"/>
      <c r="J52" s="364" t="s">
        <v>345</v>
      </c>
      <c r="K52" s="364" t="s">
        <v>346</v>
      </c>
      <c r="L52" s="364" t="s">
        <v>123</v>
      </c>
      <c r="M52" s="365" t="s">
        <v>347</v>
      </c>
    </row>
    <row r="53" spans="9:13" ht="15.75" thickBot="1">
      <c r="I53" s="366"/>
      <c r="J53" s="367" t="s">
        <v>348</v>
      </c>
      <c r="K53" s="367" t="s">
        <v>349</v>
      </c>
      <c r="L53" s="367" t="s">
        <v>346</v>
      </c>
      <c r="M53" s="368" t="s">
        <v>350</v>
      </c>
    </row>
    <row r="54" spans="9:13">
      <c r="I54" s="369" t="s">
        <v>380</v>
      </c>
      <c r="J54" s="370">
        <v>250</v>
      </c>
      <c r="K54" s="370">
        <v>2</v>
      </c>
      <c r="L54" s="370">
        <f>K59</f>
        <v>10</v>
      </c>
      <c r="M54" s="371">
        <f>+K54/L54*M59</f>
        <v>1275924.7787610621</v>
      </c>
    </row>
    <row r="55" spans="9:13">
      <c r="I55" s="372" t="s">
        <v>381</v>
      </c>
      <c r="J55" s="373" t="s">
        <v>352</v>
      </c>
      <c r="K55" s="374">
        <v>2</v>
      </c>
      <c r="L55" s="370">
        <f>K59</f>
        <v>10</v>
      </c>
      <c r="M55" s="371">
        <f>+K55/L55*M59</f>
        <v>1275924.7787610621</v>
      </c>
    </row>
    <row r="56" spans="9:13">
      <c r="I56" s="372" t="s">
        <v>382</v>
      </c>
      <c r="J56" s="374">
        <v>150</v>
      </c>
      <c r="K56" s="374">
        <v>2</v>
      </c>
      <c r="L56" s="370">
        <f>K59</f>
        <v>10</v>
      </c>
      <c r="M56" s="371">
        <f>+K56/L56*M59</f>
        <v>1275924.7787610621</v>
      </c>
    </row>
    <row r="57" spans="9:13">
      <c r="I57" s="372" t="s">
        <v>383</v>
      </c>
      <c r="J57" s="374"/>
      <c r="K57" s="374">
        <v>1</v>
      </c>
      <c r="L57" s="370">
        <f>K59</f>
        <v>10</v>
      </c>
      <c r="M57" s="371">
        <f>+K57/L57*M59</f>
        <v>637962.38938053104</v>
      </c>
    </row>
    <row r="58" spans="9:13">
      <c r="I58" s="372" t="s">
        <v>384</v>
      </c>
      <c r="J58" s="374"/>
      <c r="K58" s="374">
        <v>3</v>
      </c>
      <c r="L58" s="370">
        <f>K59</f>
        <v>10</v>
      </c>
      <c r="M58" s="371">
        <f>+K58/L58*M59</f>
        <v>1913887.168141593</v>
      </c>
    </row>
    <row r="59" spans="9:13">
      <c r="I59" s="375" t="s">
        <v>123</v>
      </c>
      <c r="J59" s="376"/>
      <c r="K59" s="375">
        <f>SUM(K54:K58)</f>
        <v>10</v>
      </c>
      <c r="L59" s="375">
        <f>K59</f>
        <v>10</v>
      </c>
      <c r="M59" s="377">
        <v>6379623.8938053101</v>
      </c>
    </row>
    <row r="60" spans="9:13">
      <c r="I60" s="1"/>
      <c r="J60" s="1"/>
      <c r="K60" s="1"/>
      <c r="L60" s="1"/>
      <c r="M60" s="1"/>
    </row>
    <row r="61" spans="9:13">
      <c r="I61" s="1"/>
      <c r="J61" s="1"/>
      <c r="K61" s="1"/>
      <c r="L61" s="1"/>
      <c r="M61" s="1"/>
    </row>
    <row r="62" spans="9:13" ht="15.75" thickBot="1">
      <c r="I62" s="362" t="s">
        <v>379</v>
      </c>
      <c r="J62" s="362"/>
      <c r="K62" s="362"/>
      <c r="L62" s="115"/>
      <c r="M62" s="1"/>
    </row>
    <row r="63" spans="9:13">
      <c r="I63" s="363"/>
      <c r="J63" s="364" t="s">
        <v>345</v>
      </c>
      <c r="K63" s="364" t="s">
        <v>346</v>
      </c>
      <c r="L63" s="364" t="s">
        <v>123</v>
      </c>
      <c r="M63" s="365" t="s">
        <v>347</v>
      </c>
    </row>
    <row r="64" spans="9:13" ht="15.75" thickBot="1">
      <c r="I64" s="366"/>
      <c r="J64" s="367" t="s">
        <v>348</v>
      </c>
      <c r="K64" s="367" t="s">
        <v>349</v>
      </c>
      <c r="L64" s="367" t="s">
        <v>346</v>
      </c>
      <c r="M64" s="368" t="s">
        <v>350</v>
      </c>
    </row>
    <row r="65" spans="9:13">
      <c r="I65" s="369" t="s">
        <v>380</v>
      </c>
      <c r="J65" s="370">
        <v>250</v>
      </c>
      <c r="K65" s="370">
        <v>2</v>
      </c>
      <c r="L65" s="370">
        <f>K70</f>
        <v>10</v>
      </c>
      <c r="M65" s="371">
        <f>+K65/L65*M70</f>
        <v>2006014.8661174823</v>
      </c>
    </row>
    <row r="66" spans="9:13">
      <c r="I66" s="372" t="s">
        <v>381</v>
      </c>
      <c r="J66" s="373" t="s">
        <v>352</v>
      </c>
      <c r="K66" s="374">
        <v>2</v>
      </c>
      <c r="L66" s="370">
        <f>K70</f>
        <v>10</v>
      </c>
      <c r="M66" s="371">
        <f>+K66/L66*M70</f>
        <v>2006014.8661174823</v>
      </c>
    </row>
    <row r="67" spans="9:13">
      <c r="I67" s="372" t="s">
        <v>382</v>
      </c>
      <c r="J67" s="374">
        <v>150</v>
      </c>
      <c r="K67" s="374">
        <v>2</v>
      </c>
      <c r="L67" s="370">
        <f>K70</f>
        <v>10</v>
      </c>
      <c r="M67" s="371">
        <f>+K67/L67*M70</f>
        <v>2006014.8661174823</v>
      </c>
    </row>
    <row r="68" spans="9:13">
      <c r="I68" s="372" t="s">
        <v>383</v>
      </c>
      <c r="J68" s="374"/>
      <c r="K68" s="374">
        <v>1</v>
      </c>
      <c r="L68" s="370">
        <f>K70</f>
        <v>10</v>
      </c>
      <c r="M68" s="371">
        <f>+K68/L68*M70</f>
        <v>1003007.4330587412</v>
      </c>
    </row>
    <row r="69" spans="9:13">
      <c r="I69" s="372" t="s">
        <v>384</v>
      </c>
      <c r="J69" s="374"/>
      <c r="K69" s="374">
        <v>3</v>
      </c>
      <c r="L69" s="370">
        <f>K70</f>
        <v>10</v>
      </c>
      <c r="M69" s="371">
        <f>+K69/L69*M70</f>
        <v>3009022.2991762231</v>
      </c>
    </row>
    <row r="70" spans="9:13">
      <c r="I70" s="375" t="s">
        <v>123</v>
      </c>
      <c r="J70" s="376"/>
      <c r="K70" s="375">
        <f>SUM(K65:K69)</f>
        <v>10</v>
      </c>
      <c r="L70" s="375">
        <f>K70</f>
        <v>10</v>
      </c>
      <c r="M70" s="377">
        <v>10030074.330587411</v>
      </c>
    </row>
    <row r="73" spans="9:13" ht="15.75" thickBot="1">
      <c r="I73" s="362" t="s">
        <v>385</v>
      </c>
      <c r="J73" s="362"/>
      <c r="K73" s="362"/>
      <c r="L73" s="115"/>
      <c r="M73" s="1"/>
    </row>
    <row r="74" spans="9:13">
      <c r="I74" s="363"/>
      <c r="J74" s="364" t="s">
        <v>345</v>
      </c>
      <c r="K74" s="364" t="s">
        <v>346</v>
      </c>
      <c r="L74" s="364" t="s">
        <v>123</v>
      </c>
      <c r="M74" s="365" t="s">
        <v>347</v>
      </c>
    </row>
    <row r="75" spans="9:13" ht="15.75" thickBot="1">
      <c r="I75" s="366"/>
      <c r="J75" s="367" t="s">
        <v>348</v>
      </c>
      <c r="K75" s="367" t="s">
        <v>349</v>
      </c>
      <c r="L75" s="367" t="s">
        <v>346</v>
      </c>
      <c r="M75" s="368" t="s">
        <v>350</v>
      </c>
    </row>
    <row r="76" spans="9:13">
      <c r="I76" s="369" t="s">
        <v>387</v>
      </c>
      <c r="J76" s="370">
        <v>250</v>
      </c>
      <c r="K76" s="370">
        <v>2</v>
      </c>
      <c r="L76" s="370">
        <f>K81</f>
        <v>17</v>
      </c>
      <c r="M76" s="371">
        <f>+K76/L76*M81</f>
        <v>1369295.1587714732</v>
      </c>
    </row>
    <row r="77" spans="9:13">
      <c r="I77" s="372" t="s">
        <v>388</v>
      </c>
      <c r="J77" s="373" t="s">
        <v>352</v>
      </c>
      <c r="K77" s="374">
        <v>5</v>
      </c>
      <c r="L77" s="370">
        <f>K81</f>
        <v>17</v>
      </c>
      <c r="M77" s="371">
        <f>+K77/L77*M81</f>
        <v>3423237.8969286834</v>
      </c>
    </row>
    <row r="78" spans="9:13">
      <c r="I78" s="372" t="s">
        <v>389</v>
      </c>
      <c r="J78" s="374">
        <v>150</v>
      </c>
      <c r="K78" s="374">
        <v>3</v>
      </c>
      <c r="L78" s="370">
        <f>K81</f>
        <v>17</v>
      </c>
      <c r="M78" s="371">
        <f>+K78/L78*M81</f>
        <v>2053942.7381572099</v>
      </c>
    </row>
    <row r="79" spans="9:13">
      <c r="I79" s="372" t="s">
        <v>390</v>
      </c>
      <c r="J79" s="374"/>
      <c r="K79" s="374">
        <v>7</v>
      </c>
      <c r="L79" s="370">
        <f>K81</f>
        <v>17</v>
      </c>
      <c r="M79" s="371">
        <f>+K79/L79*M81</f>
        <v>4792533.0557001559</v>
      </c>
    </row>
    <row r="80" spans="9:13">
      <c r="I80" s="372"/>
      <c r="J80" s="374"/>
      <c r="K80" s="374"/>
      <c r="L80" s="370"/>
      <c r="M80" s="371"/>
    </row>
    <row r="81" spans="9:13">
      <c r="I81" s="375" t="s">
        <v>123</v>
      </c>
      <c r="J81" s="376"/>
      <c r="K81" s="375">
        <f>SUM(K76:K80)</f>
        <v>17</v>
      </c>
      <c r="L81" s="375">
        <f>K81</f>
        <v>17</v>
      </c>
      <c r="M81" s="377">
        <v>11639008.849557523</v>
      </c>
    </row>
    <row r="82" spans="9:13">
      <c r="I82" s="1"/>
      <c r="J82" s="1"/>
      <c r="K82" s="1"/>
      <c r="L82" s="1"/>
      <c r="M82" s="1"/>
    </row>
    <row r="83" spans="9:13">
      <c r="I83" s="1"/>
      <c r="J83" s="1"/>
      <c r="K83" s="1"/>
      <c r="L83" s="1"/>
      <c r="M83" s="1"/>
    </row>
    <row r="84" spans="9:13" ht="15.75" thickBot="1">
      <c r="I84" s="362" t="s">
        <v>386</v>
      </c>
      <c r="J84" s="362"/>
      <c r="K84" s="362"/>
      <c r="L84" s="115"/>
      <c r="M84" s="1"/>
    </row>
    <row r="85" spans="9:13">
      <c r="I85" s="363"/>
      <c r="J85" s="364" t="s">
        <v>345</v>
      </c>
      <c r="K85" s="364" t="s">
        <v>346</v>
      </c>
      <c r="L85" s="364" t="s">
        <v>123</v>
      </c>
      <c r="M85" s="365" t="s">
        <v>347</v>
      </c>
    </row>
    <row r="86" spans="9:13" ht="15.75" thickBot="1">
      <c r="I86" s="366"/>
      <c r="J86" s="367" t="s">
        <v>348</v>
      </c>
      <c r="K86" s="367" t="s">
        <v>349</v>
      </c>
      <c r="L86" s="367" t="s">
        <v>346</v>
      </c>
      <c r="M86" s="368" t="s">
        <v>350</v>
      </c>
    </row>
    <row r="87" spans="9:13">
      <c r="I87" s="369" t="s">
        <v>387</v>
      </c>
      <c r="J87" s="370">
        <v>250</v>
      </c>
      <c r="K87" s="370">
        <v>2</v>
      </c>
      <c r="L87" s="370">
        <f>K92</f>
        <v>17</v>
      </c>
      <c r="M87" s="371">
        <f>+K87/L87*M92</f>
        <v>1624320.4725973613</v>
      </c>
    </row>
    <row r="88" spans="9:13">
      <c r="I88" s="372" t="s">
        <v>388</v>
      </c>
      <c r="J88" s="373" t="s">
        <v>352</v>
      </c>
      <c r="K88" s="374">
        <v>5</v>
      </c>
      <c r="L88" s="370">
        <f>K92</f>
        <v>17</v>
      </c>
      <c r="M88" s="371">
        <f>+K88/L88*M92</f>
        <v>4060801.1814934034</v>
      </c>
    </row>
    <row r="89" spans="9:13">
      <c r="I89" s="372" t="s">
        <v>389</v>
      </c>
      <c r="J89" s="374">
        <v>150</v>
      </c>
      <c r="K89" s="374">
        <v>3</v>
      </c>
      <c r="L89" s="370">
        <f>K92</f>
        <v>17</v>
      </c>
      <c r="M89" s="371">
        <f>+K89/L89*M92</f>
        <v>2436480.7088960418</v>
      </c>
    </row>
    <row r="90" spans="9:13">
      <c r="I90" s="372" t="s">
        <v>390</v>
      </c>
      <c r="J90" s="374"/>
      <c r="K90" s="374">
        <v>7</v>
      </c>
      <c r="L90" s="370">
        <f>K92</f>
        <v>17</v>
      </c>
      <c r="M90" s="371">
        <f>+K90/L90*M92</f>
        <v>5685121.654090764</v>
      </c>
    </row>
    <row r="91" spans="9:13">
      <c r="I91" s="372"/>
      <c r="J91" s="374"/>
      <c r="K91" s="374"/>
      <c r="L91" s="370"/>
      <c r="M91" s="371"/>
    </row>
    <row r="92" spans="9:13">
      <c r="I92" s="375" t="s">
        <v>123</v>
      </c>
      <c r="J92" s="376"/>
      <c r="K92" s="375">
        <f>SUM(K87:K91)</f>
        <v>17</v>
      </c>
      <c r="L92" s="375">
        <f>K92</f>
        <v>17</v>
      </c>
      <c r="M92" s="377">
        <v>13806724.017077571</v>
      </c>
    </row>
    <row r="101" spans="9:15" ht="15.75" thickBot="1">
      <c r="I101" s="362" t="s">
        <v>391</v>
      </c>
      <c r="J101" s="362"/>
      <c r="K101" s="362"/>
      <c r="L101" s="115"/>
      <c r="M101" s="1"/>
      <c r="N101" s="1"/>
      <c r="O101" s="1"/>
    </row>
    <row r="102" spans="9:15">
      <c r="I102" s="363"/>
      <c r="J102" s="364" t="s">
        <v>345</v>
      </c>
      <c r="K102" s="364" t="s">
        <v>346</v>
      </c>
      <c r="L102" s="364" t="s">
        <v>123</v>
      </c>
      <c r="M102" s="365" t="s">
        <v>347</v>
      </c>
      <c r="N102" s="1"/>
      <c r="O102" s="1"/>
    </row>
    <row r="103" spans="9:15" ht="15.75" thickBot="1">
      <c r="I103" s="366"/>
      <c r="J103" s="367" t="s">
        <v>348</v>
      </c>
      <c r="K103" s="367" t="s">
        <v>349</v>
      </c>
      <c r="L103" s="367" t="s">
        <v>346</v>
      </c>
      <c r="M103" s="368" t="s">
        <v>350</v>
      </c>
      <c r="N103" s="1"/>
      <c r="O103" s="1"/>
    </row>
    <row r="104" spans="9:15">
      <c r="I104" s="369" t="s">
        <v>393</v>
      </c>
      <c r="J104" s="370">
        <v>250</v>
      </c>
      <c r="K104" s="370">
        <v>2</v>
      </c>
      <c r="L104" s="370">
        <f>K109</f>
        <v>26</v>
      </c>
      <c r="M104" s="371">
        <f>+K104/L104*M109</f>
        <v>1148339.0938393467</v>
      </c>
      <c r="N104" s="1"/>
      <c r="O104" s="1"/>
    </row>
    <row r="105" spans="9:15">
      <c r="I105" s="372" t="s">
        <v>394</v>
      </c>
      <c r="J105" s="373" t="s">
        <v>352</v>
      </c>
      <c r="K105" s="374">
        <v>4</v>
      </c>
      <c r="L105" s="370">
        <f>K109</f>
        <v>26</v>
      </c>
      <c r="M105" s="371">
        <f>+K105/L105*M109</f>
        <v>2296678.1876786933</v>
      </c>
      <c r="N105" s="1"/>
      <c r="O105" s="1"/>
    </row>
    <row r="106" spans="9:15">
      <c r="I106" s="372" t="s">
        <v>395</v>
      </c>
      <c r="J106" s="374">
        <v>150</v>
      </c>
      <c r="K106" s="374">
        <v>9</v>
      </c>
      <c r="L106" s="370">
        <f>K109</f>
        <v>26</v>
      </c>
      <c r="M106" s="371">
        <f>+K106/L106*M109</f>
        <v>5167525.9222770594</v>
      </c>
      <c r="N106" s="1"/>
      <c r="O106" s="1"/>
    </row>
    <row r="107" spans="9:15">
      <c r="I107" s="372" t="s">
        <v>396</v>
      </c>
      <c r="J107" s="374"/>
      <c r="K107" s="374">
        <v>6</v>
      </c>
      <c r="L107" s="370">
        <f>K109</f>
        <v>26</v>
      </c>
      <c r="M107" s="371">
        <f>+K107/L107*M109</f>
        <v>3445017.2815180398</v>
      </c>
      <c r="N107" s="1"/>
      <c r="O107" s="1"/>
    </row>
    <row r="108" spans="9:15">
      <c r="I108" s="372" t="s">
        <v>397</v>
      </c>
      <c r="J108" s="374"/>
      <c r="K108" s="374">
        <v>5</v>
      </c>
      <c r="L108" s="370">
        <f>K109</f>
        <v>26</v>
      </c>
      <c r="M108" s="371">
        <f>+K108/L108*M109</f>
        <v>2870847.7345983665</v>
      </c>
      <c r="N108" s="1"/>
      <c r="O108" s="1"/>
    </row>
    <row r="109" spans="9:15">
      <c r="I109" s="375" t="s">
        <v>123</v>
      </c>
      <c r="J109" s="376"/>
      <c r="K109" s="375">
        <f>SUM(K104:K108)</f>
        <v>26</v>
      </c>
      <c r="L109" s="375">
        <f>K109</f>
        <v>26</v>
      </c>
      <c r="M109" s="377">
        <v>14928408.219911505</v>
      </c>
      <c r="N109" s="1"/>
      <c r="O109" s="1"/>
    </row>
    <row r="110" spans="9:15">
      <c r="I110" s="1"/>
      <c r="J110" s="1"/>
      <c r="K110" s="1"/>
      <c r="L110" s="1"/>
      <c r="M110" s="1"/>
      <c r="N110" s="1"/>
      <c r="O110" s="1"/>
    </row>
    <row r="111" spans="9:15">
      <c r="I111" s="1"/>
      <c r="J111" s="1"/>
      <c r="K111" s="1"/>
      <c r="L111" s="1"/>
      <c r="M111" s="1"/>
      <c r="N111" s="1"/>
      <c r="O111" s="1">
        <v>1125878.8965834202</v>
      </c>
    </row>
    <row r="112" spans="9:15" ht="15.75" thickBot="1">
      <c r="I112" s="362" t="s">
        <v>392</v>
      </c>
      <c r="J112" s="362"/>
      <c r="K112" s="362"/>
      <c r="L112" s="115"/>
      <c r="M112" s="1"/>
      <c r="N112" s="1"/>
      <c r="O112" s="1"/>
    </row>
    <row r="113" spans="9:15">
      <c r="I113" s="363"/>
      <c r="J113" s="364" t="s">
        <v>345</v>
      </c>
      <c r="K113" s="364" t="s">
        <v>346</v>
      </c>
      <c r="L113" s="364" t="s">
        <v>123</v>
      </c>
      <c r="M113" s="365" t="s">
        <v>347</v>
      </c>
      <c r="N113" s="1"/>
      <c r="O113" s="1"/>
    </row>
    <row r="114" spans="9:15" ht="15.75" thickBot="1">
      <c r="I114" s="366"/>
      <c r="J114" s="367" t="s">
        <v>348</v>
      </c>
      <c r="K114" s="367" t="s">
        <v>349</v>
      </c>
      <c r="L114" s="367" t="s">
        <v>346</v>
      </c>
      <c r="M114" s="368" t="s">
        <v>350</v>
      </c>
      <c r="N114" s="1"/>
      <c r="O114" s="1"/>
    </row>
    <row r="115" spans="9:15">
      <c r="I115" s="369" t="s">
        <v>393</v>
      </c>
      <c r="J115" s="370">
        <v>250</v>
      </c>
      <c r="K115" s="370">
        <v>2</v>
      </c>
      <c r="L115" s="370">
        <f>K120</f>
        <v>26</v>
      </c>
      <c r="M115" s="371">
        <f>+K115/L115*M120</f>
        <v>950351.55863336881</v>
      </c>
      <c r="N115" s="1"/>
      <c r="O115" s="1"/>
    </row>
    <row r="116" spans="9:15">
      <c r="I116" s="372" t="s">
        <v>394</v>
      </c>
      <c r="J116" s="373" t="s">
        <v>352</v>
      </c>
      <c r="K116" s="374">
        <v>4</v>
      </c>
      <c r="L116" s="370">
        <f>K120</f>
        <v>26</v>
      </c>
      <c r="M116" s="371">
        <f>+K116/L116*M120</f>
        <v>1900703.1172667376</v>
      </c>
      <c r="N116" s="1"/>
      <c r="O116" s="1"/>
    </row>
    <row r="117" spans="9:15">
      <c r="I117" s="372" t="s">
        <v>395</v>
      </c>
      <c r="J117" s="374">
        <v>150</v>
      </c>
      <c r="K117" s="374">
        <v>9</v>
      </c>
      <c r="L117" s="370">
        <f>K120</f>
        <v>26</v>
      </c>
      <c r="M117" s="371">
        <f>+K117/L117*M120</f>
        <v>4276582.013850159</v>
      </c>
      <c r="N117" s="1"/>
      <c r="O117" s="1"/>
    </row>
    <row r="118" spans="9:15">
      <c r="I118" s="372" t="s">
        <v>396</v>
      </c>
      <c r="J118" s="374"/>
      <c r="K118" s="374">
        <v>6</v>
      </c>
      <c r="L118" s="370">
        <f>K120</f>
        <v>26</v>
      </c>
      <c r="M118" s="371">
        <f>+K118/L118*M120</f>
        <v>2851054.6759001063</v>
      </c>
      <c r="N118" s="1"/>
      <c r="O118" s="1"/>
    </row>
    <row r="119" spans="9:15">
      <c r="I119" s="372" t="s">
        <v>397</v>
      </c>
      <c r="J119" s="374"/>
      <c r="K119" s="374">
        <v>5</v>
      </c>
      <c r="L119" s="370">
        <f>K120</f>
        <v>26</v>
      </c>
      <c r="M119" s="371">
        <f>+K119/L119*M120</f>
        <v>2375878.8965834221</v>
      </c>
      <c r="N119" s="1"/>
      <c r="O119" s="1"/>
    </row>
    <row r="120" spans="9:15">
      <c r="I120" s="375" t="s">
        <v>123</v>
      </c>
      <c r="J120" s="376"/>
      <c r="K120" s="375">
        <f>SUM(K115:K119)</f>
        <v>26</v>
      </c>
      <c r="L120" s="375">
        <f>K120</f>
        <v>26</v>
      </c>
      <c r="M120" s="377">
        <v>12354570.262233794</v>
      </c>
      <c r="N120" s="1"/>
      <c r="O120" s="1"/>
    </row>
    <row r="121" spans="9:15">
      <c r="I121" s="1"/>
      <c r="J121" s="1"/>
      <c r="K121" s="1"/>
      <c r="L121" s="1"/>
      <c r="M121" s="1"/>
      <c r="N121" s="1"/>
      <c r="O121" s="1"/>
    </row>
    <row r="122" spans="9:15">
      <c r="I122" s="1"/>
      <c r="J122" s="1"/>
      <c r="K122" s="1"/>
      <c r="L122" s="1"/>
      <c r="M122" s="1"/>
      <c r="N122" s="1"/>
      <c r="O122" s="1"/>
    </row>
    <row r="123" spans="9:15">
      <c r="I123" s="1"/>
      <c r="J123" s="1"/>
      <c r="K123" s="1"/>
      <c r="L123" s="1"/>
      <c r="M123" s="1"/>
      <c r="N123" s="1"/>
      <c r="O123" s="1"/>
    </row>
    <row r="124" spans="9:15">
      <c r="I124" s="1"/>
      <c r="J124" s="1"/>
      <c r="K124" s="1"/>
      <c r="L124" s="1"/>
      <c r="M124" s="1"/>
      <c r="N124" s="1"/>
      <c r="O124" s="1"/>
    </row>
    <row r="125" spans="9:15">
      <c r="I125" s="1"/>
      <c r="J125" s="1"/>
      <c r="K125" s="1"/>
      <c r="L125" s="1"/>
      <c r="M125" s="1"/>
      <c r="N125" s="1"/>
      <c r="O125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zoomScale="90" zoomScaleNormal="90" workbookViewId="0">
      <selection activeCell="D14" sqref="D14"/>
    </sheetView>
  </sheetViews>
  <sheetFormatPr defaultRowHeight="15"/>
  <cols>
    <col min="1" max="1" width="36.28515625" style="1" customWidth="1"/>
    <col min="2" max="2" width="14.7109375" style="1" customWidth="1"/>
    <col min="3" max="3" width="14.5703125" style="1" customWidth="1"/>
    <col min="4" max="4" width="14.7109375" style="1" bestFit="1" customWidth="1"/>
    <col min="5" max="5" width="14.5703125" style="1" customWidth="1"/>
    <col min="6" max="7" width="14.7109375" style="1" bestFit="1" customWidth="1"/>
    <col min="8" max="16384" width="9.140625" style="1"/>
  </cols>
  <sheetData>
    <row r="1" spans="1:7">
      <c r="A1" s="37" t="s">
        <v>358</v>
      </c>
      <c r="B1" s="206"/>
      <c r="C1" s="265"/>
      <c r="D1" s="265"/>
    </row>
    <row r="2" spans="1:7" ht="15.75" thickBot="1">
      <c r="A2" s="8"/>
    </row>
    <row r="3" spans="1:7" ht="26.25" thickBot="1">
      <c r="A3" s="130" t="s">
        <v>39</v>
      </c>
      <c r="B3" s="266" t="s">
        <v>1</v>
      </c>
      <c r="C3" s="266" t="s">
        <v>40</v>
      </c>
      <c r="D3" s="266" t="s">
        <v>41</v>
      </c>
      <c r="E3" s="266" t="s">
        <v>42</v>
      </c>
      <c r="F3" s="266" t="s">
        <v>43</v>
      </c>
      <c r="G3" s="207" t="s">
        <v>0</v>
      </c>
    </row>
    <row r="4" spans="1:7" ht="15.75" thickBot="1">
      <c r="A4" s="7"/>
      <c r="B4" s="208"/>
      <c r="C4" s="267"/>
      <c r="D4" s="267"/>
      <c r="E4" s="267"/>
      <c r="F4" s="267"/>
      <c r="G4" s="208"/>
    </row>
    <row r="5" spans="1:7" ht="15.75" thickBot="1">
      <c r="A5" s="9" t="s">
        <v>3</v>
      </c>
      <c r="B5" s="209">
        <v>4696833.4800000004</v>
      </c>
      <c r="C5" s="268">
        <v>5687728.3305874113</v>
      </c>
      <c r="D5" s="268">
        <v>15202014.133683238</v>
      </c>
      <c r="E5" s="268">
        <v>8086166.4970775712</v>
      </c>
      <c r="F5" s="268">
        <v>9899658.2622337937</v>
      </c>
      <c r="G5" s="209">
        <f>SUM(B5:F5)</f>
        <v>43572400.703582011</v>
      </c>
    </row>
    <row r="6" spans="1:7" ht="15.75" thickBot="1">
      <c r="A6" s="10"/>
      <c r="B6" s="210"/>
      <c r="C6" s="269"/>
      <c r="D6" s="269"/>
      <c r="E6" s="269"/>
      <c r="F6" s="269"/>
      <c r="G6" s="211"/>
    </row>
    <row r="7" spans="1:7" s="381" customFormat="1" ht="15.75" thickBot="1">
      <c r="A7" s="379" t="s">
        <v>44</v>
      </c>
      <c r="B7" s="380">
        <f>B5</f>
        <v>4696833.4800000004</v>
      </c>
      <c r="C7" s="380">
        <f t="shared" ref="C7:G7" si="0">C5</f>
        <v>5687728.3305874113</v>
      </c>
      <c r="D7" s="380">
        <f t="shared" si="0"/>
        <v>15202014.133683238</v>
      </c>
      <c r="E7" s="380">
        <f t="shared" si="0"/>
        <v>8086166.4970775712</v>
      </c>
      <c r="F7" s="380">
        <f t="shared" si="0"/>
        <v>9899658.2622337937</v>
      </c>
      <c r="G7" s="380">
        <f t="shared" si="0"/>
        <v>43572400.703582011</v>
      </c>
    </row>
    <row r="8" spans="1:7" ht="15.75" thickBot="1">
      <c r="A8" s="10"/>
      <c r="B8" s="211"/>
      <c r="C8" s="269"/>
      <c r="D8" s="269"/>
      <c r="E8" s="269"/>
      <c r="F8" s="269"/>
      <c r="G8" s="211"/>
    </row>
    <row r="9" spans="1:7" ht="18" customHeight="1" thickBot="1">
      <c r="A9" s="10" t="s">
        <v>38</v>
      </c>
      <c r="B9" s="211"/>
      <c r="C9" s="269">
        <v>70000</v>
      </c>
      <c r="D9" s="269"/>
      <c r="E9" s="269"/>
      <c r="F9" s="269"/>
      <c r="G9" s="298">
        <f>SUM(B9:F9)</f>
        <v>70000</v>
      </c>
    </row>
    <row r="10" spans="1:7" ht="18" customHeight="1" thickBot="1">
      <c r="A10" s="10" t="s">
        <v>23</v>
      </c>
      <c r="B10" s="211"/>
      <c r="C10" s="269">
        <v>100000</v>
      </c>
      <c r="D10" s="269">
        <v>200000</v>
      </c>
      <c r="E10" s="269"/>
      <c r="F10" s="269"/>
      <c r="G10" s="298">
        <f t="shared" ref="G10:G53" si="1">SUM(B10:F10)</f>
        <v>300000</v>
      </c>
    </row>
    <row r="11" spans="1:7" ht="19.5" customHeight="1" thickBot="1">
      <c r="A11" s="10" t="s">
        <v>35</v>
      </c>
      <c r="B11" s="211"/>
      <c r="C11" s="269"/>
      <c r="D11" s="269"/>
      <c r="E11" s="269"/>
      <c r="F11" s="269">
        <v>150000</v>
      </c>
      <c r="G11" s="298">
        <f t="shared" si="1"/>
        <v>150000</v>
      </c>
    </row>
    <row r="12" spans="1:7" ht="20.25" customHeight="1" thickBot="1">
      <c r="A12" s="10" t="s">
        <v>4</v>
      </c>
      <c r="B12" s="211">
        <v>10000</v>
      </c>
      <c r="C12" s="269">
        <v>100000</v>
      </c>
      <c r="D12" s="269">
        <v>100000</v>
      </c>
      <c r="E12" s="269">
        <v>30000</v>
      </c>
      <c r="F12" s="269">
        <v>45000</v>
      </c>
      <c r="G12" s="298">
        <f t="shared" si="1"/>
        <v>285000</v>
      </c>
    </row>
    <row r="13" spans="1:7" ht="19.5" customHeight="1" thickBot="1">
      <c r="A13" s="10" t="s">
        <v>5</v>
      </c>
      <c r="B13" s="211"/>
      <c r="C13" s="269">
        <v>20000</v>
      </c>
      <c r="D13" s="269">
        <v>10000</v>
      </c>
      <c r="E13" s="269"/>
      <c r="F13" s="269">
        <v>30000</v>
      </c>
      <c r="G13" s="298">
        <f t="shared" si="1"/>
        <v>60000</v>
      </c>
    </row>
    <row r="14" spans="1:7" ht="17.25" customHeight="1" thickBot="1">
      <c r="A14" s="10" t="s">
        <v>24</v>
      </c>
      <c r="B14" s="211"/>
      <c r="C14" s="269">
        <v>1800000</v>
      </c>
      <c r="D14" s="269"/>
      <c r="E14" s="269"/>
      <c r="F14" s="269"/>
      <c r="G14" s="298">
        <f t="shared" si="1"/>
        <v>1800000</v>
      </c>
    </row>
    <row r="15" spans="1:7" ht="19.5" customHeight="1" thickBot="1">
      <c r="A15" s="10" t="s">
        <v>113</v>
      </c>
      <c r="B15" s="211"/>
      <c r="C15" s="269"/>
      <c r="D15" s="269"/>
      <c r="E15" s="269"/>
      <c r="F15" s="269">
        <v>20000</v>
      </c>
      <c r="G15" s="298">
        <f t="shared" si="1"/>
        <v>20000</v>
      </c>
    </row>
    <row r="16" spans="1:7" ht="21" customHeight="1" thickBot="1">
      <c r="A16" s="10" t="s">
        <v>6</v>
      </c>
      <c r="B16" s="211"/>
      <c r="C16" s="269"/>
      <c r="D16" s="269"/>
      <c r="E16" s="269"/>
      <c r="F16" s="269"/>
      <c r="G16" s="298">
        <f t="shared" si="1"/>
        <v>0</v>
      </c>
    </row>
    <row r="17" spans="1:7" ht="15.75" thickBot="1">
      <c r="A17" s="10" t="s">
        <v>7</v>
      </c>
      <c r="B17" s="211"/>
      <c r="C17" s="269">
        <v>2000</v>
      </c>
      <c r="D17" s="269">
        <v>3000</v>
      </c>
      <c r="E17" s="269"/>
      <c r="F17" s="269">
        <v>1500</v>
      </c>
      <c r="G17" s="298">
        <f t="shared" si="1"/>
        <v>6500</v>
      </c>
    </row>
    <row r="18" spans="1:7" ht="21" customHeight="1" thickBot="1">
      <c r="A18" s="10" t="s">
        <v>8</v>
      </c>
      <c r="B18" s="211">
        <v>900000</v>
      </c>
      <c r="C18" s="269">
        <v>350000</v>
      </c>
      <c r="D18" s="269">
        <v>400000</v>
      </c>
      <c r="E18" s="269">
        <v>500000</v>
      </c>
      <c r="F18" s="269">
        <v>300000</v>
      </c>
      <c r="G18" s="298">
        <f t="shared" si="1"/>
        <v>2450000</v>
      </c>
    </row>
    <row r="19" spans="1:7" ht="18" customHeight="1" thickBot="1">
      <c r="A19" s="10" t="s">
        <v>46</v>
      </c>
      <c r="B19" s="211"/>
      <c r="C19" s="269">
        <v>50000</v>
      </c>
      <c r="D19" s="269"/>
      <c r="E19" s="269"/>
      <c r="F19" s="269"/>
      <c r="G19" s="298">
        <f t="shared" si="1"/>
        <v>50000</v>
      </c>
    </row>
    <row r="20" spans="1:7" ht="15" customHeight="1" thickBot="1">
      <c r="A20" s="10" t="s">
        <v>25</v>
      </c>
      <c r="B20" s="211"/>
      <c r="C20" s="269">
        <v>568000</v>
      </c>
      <c r="D20" s="269"/>
      <c r="E20" s="269"/>
      <c r="F20" s="269"/>
      <c r="G20" s="298">
        <f t="shared" si="1"/>
        <v>568000</v>
      </c>
    </row>
    <row r="21" spans="1:7" ht="20.25" customHeight="1" thickBot="1">
      <c r="A21" s="10" t="s">
        <v>9</v>
      </c>
      <c r="B21" s="211">
        <v>113174</v>
      </c>
      <c r="C21" s="269">
        <v>84996</v>
      </c>
      <c r="D21" s="269">
        <v>297345</v>
      </c>
      <c r="E21" s="269">
        <v>120353.98</v>
      </c>
      <c r="F21" s="269">
        <v>184071</v>
      </c>
      <c r="G21" s="298">
        <f t="shared" si="1"/>
        <v>799939.98</v>
      </c>
    </row>
    <row r="22" spans="1:7" ht="18" customHeight="1" thickBot="1">
      <c r="A22" s="10" t="s">
        <v>26</v>
      </c>
      <c r="B22" s="211"/>
      <c r="C22" s="269">
        <v>108000</v>
      </c>
      <c r="D22" s="269"/>
      <c r="E22" s="269"/>
      <c r="F22" s="269"/>
      <c r="G22" s="298">
        <f t="shared" si="1"/>
        <v>108000</v>
      </c>
    </row>
    <row r="23" spans="1:7" ht="18.75" customHeight="1" thickBot="1">
      <c r="A23" s="10" t="s">
        <v>10</v>
      </c>
      <c r="B23" s="211"/>
      <c r="C23" s="269">
        <v>2000</v>
      </c>
      <c r="D23" s="269">
        <v>6000</v>
      </c>
      <c r="E23" s="269"/>
      <c r="F23" s="269">
        <v>4000</v>
      </c>
      <c r="G23" s="298">
        <f t="shared" si="1"/>
        <v>12000</v>
      </c>
    </row>
    <row r="24" spans="1:7" ht="18.75" customHeight="1" thickBot="1">
      <c r="A24" s="10" t="s">
        <v>47</v>
      </c>
      <c r="B24" s="211"/>
      <c r="C24" s="269">
        <v>500000</v>
      </c>
      <c r="D24" s="269"/>
      <c r="E24" s="269"/>
      <c r="F24" s="269"/>
      <c r="G24" s="298">
        <f t="shared" si="1"/>
        <v>500000</v>
      </c>
    </row>
    <row r="25" spans="1:7" ht="15.75" thickBot="1">
      <c r="A25" s="10" t="s">
        <v>27</v>
      </c>
      <c r="B25" s="211"/>
      <c r="C25" s="269"/>
      <c r="D25" s="269">
        <v>500000</v>
      </c>
      <c r="E25" s="269"/>
      <c r="F25" s="269"/>
      <c r="G25" s="298">
        <f t="shared" si="1"/>
        <v>500000</v>
      </c>
    </row>
    <row r="26" spans="1:7" ht="19.5" customHeight="1" thickBot="1">
      <c r="A26" s="10" t="s">
        <v>11</v>
      </c>
      <c r="B26" s="211">
        <v>60000</v>
      </c>
      <c r="C26" s="269"/>
      <c r="D26" s="269"/>
      <c r="E26" s="269"/>
      <c r="F26" s="269"/>
      <c r="G26" s="298">
        <f t="shared" si="1"/>
        <v>60000</v>
      </c>
    </row>
    <row r="27" spans="1:7" ht="15" customHeight="1" thickBot="1">
      <c r="A27" s="10" t="s">
        <v>12</v>
      </c>
      <c r="B27" s="211">
        <v>30000</v>
      </c>
      <c r="C27" s="269"/>
      <c r="D27" s="269"/>
      <c r="E27" s="269"/>
      <c r="F27" s="269"/>
      <c r="G27" s="298">
        <f t="shared" si="1"/>
        <v>30000</v>
      </c>
    </row>
    <row r="28" spans="1:7" ht="22.5" customHeight="1" thickBot="1">
      <c r="A28" s="10" t="s">
        <v>13</v>
      </c>
      <c r="B28" s="211">
        <v>30000</v>
      </c>
      <c r="C28" s="269"/>
      <c r="D28" s="269"/>
      <c r="E28" s="269"/>
      <c r="F28" s="269"/>
      <c r="G28" s="298">
        <f t="shared" si="1"/>
        <v>30000</v>
      </c>
    </row>
    <row r="29" spans="1:7" ht="17.25" customHeight="1" thickBot="1">
      <c r="A29" s="10" t="s">
        <v>48</v>
      </c>
      <c r="B29" s="211"/>
      <c r="C29" s="269">
        <v>30000</v>
      </c>
      <c r="D29" s="269"/>
      <c r="E29" s="269"/>
      <c r="F29" s="269"/>
      <c r="G29" s="298">
        <f t="shared" si="1"/>
        <v>30000</v>
      </c>
    </row>
    <row r="30" spans="1:7" ht="28.5" customHeight="1" thickBot="1">
      <c r="A30" s="10" t="s">
        <v>49</v>
      </c>
      <c r="B30" s="211"/>
      <c r="C30" s="269"/>
      <c r="D30" s="269">
        <v>8400</v>
      </c>
      <c r="E30" s="269"/>
      <c r="F30" s="269"/>
      <c r="G30" s="298">
        <f t="shared" si="1"/>
        <v>8400</v>
      </c>
    </row>
    <row r="31" spans="1:7" ht="23.25" customHeight="1" thickBot="1">
      <c r="A31" s="10" t="s">
        <v>50</v>
      </c>
      <c r="B31" s="211"/>
      <c r="C31" s="269"/>
      <c r="D31" s="269"/>
      <c r="E31" s="269"/>
      <c r="F31" s="269"/>
      <c r="G31" s="298">
        <f t="shared" si="1"/>
        <v>0</v>
      </c>
    </row>
    <row r="32" spans="1:7" ht="18" customHeight="1" thickBot="1">
      <c r="A32" s="10" t="s">
        <v>51</v>
      </c>
      <c r="B32" s="211"/>
      <c r="C32" s="269"/>
      <c r="D32" s="269"/>
      <c r="E32" s="269"/>
      <c r="F32" s="269">
        <v>20000</v>
      </c>
      <c r="G32" s="298">
        <f t="shared" si="1"/>
        <v>20000</v>
      </c>
    </row>
    <row r="33" spans="1:7" ht="20.25" customHeight="1" thickBot="1">
      <c r="A33" s="10" t="s">
        <v>28</v>
      </c>
      <c r="B33" s="211"/>
      <c r="C33" s="269"/>
      <c r="D33" s="269"/>
      <c r="E33" s="269"/>
      <c r="F33" s="269"/>
      <c r="G33" s="298">
        <f t="shared" si="1"/>
        <v>0</v>
      </c>
    </row>
    <row r="34" spans="1:7" ht="19.5" customHeight="1" thickBot="1">
      <c r="A34" s="10" t="s">
        <v>52</v>
      </c>
      <c r="B34" s="211"/>
      <c r="C34" s="269"/>
      <c r="D34" s="269">
        <v>150000</v>
      </c>
      <c r="E34" s="269"/>
      <c r="F34" s="269"/>
      <c r="G34" s="298">
        <f t="shared" si="1"/>
        <v>150000</v>
      </c>
    </row>
    <row r="35" spans="1:7" ht="18.75" customHeight="1" thickBot="1">
      <c r="A35" s="10" t="s">
        <v>53</v>
      </c>
      <c r="B35" s="211"/>
      <c r="C35" s="269"/>
      <c r="D35" s="269">
        <v>20000</v>
      </c>
      <c r="E35" s="269"/>
      <c r="F35" s="269"/>
      <c r="G35" s="298">
        <f t="shared" si="1"/>
        <v>20000</v>
      </c>
    </row>
    <row r="36" spans="1:7" ht="19.5" customHeight="1" thickBot="1">
      <c r="A36" s="10" t="s">
        <v>14</v>
      </c>
      <c r="B36" s="211"/>
      <c r="C36" s="269"/>
      <c r="D36" s="269">
        <v>350000</v>
      </c>
      <c r="E36" s="269"/>
      <c r="F36" s="269"/>
      <c r="G36" s="298">
        <f t="shared" si="1"/>
        <v>350000</v>
      </c>
    </row>
    <row r="37" spans="1:7" ht="19.5" customHeight="1" thickBot="1">
      <c r="A37" s="10" t="s">
        <v>15</v>
      </c>
      <c r="B37" s="211">
        <v>65133</v>
      </c>
      <c r="C37" s="269">
        <v>48850</v>
      </c>
      <c r="D37" s="269">
        <v>170973</v>
      </c>
      <c r="E37" s="269">
        <v>69203.539999999994</v>
      </c>
      <c r="F37" s="269">
        <v>105841</v>
      </c>
      <c r="G37" s="298">
        <f t="shared" si="1"/>
        <v>460000.54</v>
      </c>
    </row>
    <row r="38" spans="1:7" ht="15.75" customHeight="1" thickBot="1">
      <c r="A38" s="10" t="s">
        <v>16</v>
      </c>
      <c r="B38" s="211"/>
      <c r="C38" s="269"/>
      <c r="D38" s="269">
        <v>2300</v>
      </c>
      <c r="E38" s="269"/>
      <c r="F38" s="269"/>
      <c r="G38" s="298">
        <f t="shared" si="1"/>
        <v>2300</v>
      </c>
    </row>
    <row r="39" spans="1:7" ht="17.25" customHeight="1" thickBot="1">
      <c r="A39" s="10" t="s">
        <v>303</v>
      </c>
      <c r="B39" s="211"/>
      <c r="C39" s="269"/>
      <c r="D39" s="269"/>
      <c r="E39" s="269"/>
      <c r="F39" s="269"/>
      <c r="G39" s="298">
        <f t="shared" si="1"/>
        <v>0</v>
      </c>
    </row>
    <row r="40" spans="1:7" ht="21" customHeight="1" thickBot="1">
      <c r="A40" s="10" t="s">
        <v>298</v>
      </c>
      <c r="B40" s="211"/>
      <c r="C40" s="269"/>
      <c r="D40" s="269"/>
      <c r="E40" s="269"/>
      <c r="F40" s="269"/>
      <c r="G40" s="298">
        <f t="shared" si="1"/>
        <v>0</v>
      </c>
    </row>
    <row r="41" spans="1:7" ht="15.75" thickBot="1">
      <c r="A41" s="11" t="s">
        <v>54</v>
      </c>
      <c r="B41" s="211"/>
      <c r="C41" s="269">
        <v>10000</v>
      </c>
      <c r="D41" s="269">
        <v>8000</v>
      </c>
      <c r="E41" s="269">
        <v>10000</v>
      </c>
      <c r="F41" s="269">
        <v>16000</v>
      </c>
      <c r="G41" s="298">
        <f t="shared" si="1"/>
        <v>44000</v>
      </c>
    </row>
    <row r="42" spans="1:7" ht="15.75" thickBot="1">
      <c r="A42" s="11" t="s">
        <v>97</v>
      </c>
      <c r="B42" s="211"/>
      <c r="C42" s="269"/>
      <c r="D42" s="269"/>
      <c r="E42" s="269"/>
      <c r="F42" s="269"/>
      <c r="G42" s="298">
        <f t="shared" si="1"/>
        <v>0</v>
      </c>
    </row>
    <row r="43" spans="1:7" ht="15.75" thickBot="1">
      <c r="A43" s="11" t="s">
        <v>84</v>
      </c>
      <c r="B43" s="211"/>
      <c r="C43" s="269"/>
      <c r="D43" s="269">
        <v>70000</v>
      </c>
      <c r="E43" s="269"/>
      <c r="F43" s="269"/>
      <c r="G43" s="298">
        <f t="shared" si="1"/>
        <v>70000</v>
      </c>
    </row>
    <row r="44" spans="1:7" ht="15.75" thickBot="1">
      <c r="A44" s="11" t="s">
        <v>45</v>
      </c>
      <c r="B44" s="211"/>
      <c r="C44" s="269"/>
      <c r="D44" s="269"/>
      <c r="E44" s="269"/>
      <c r="F44" s="269"/>
      <c r="G44" s="298">
        <f t="shared" si="1"/>
        <v>0</v>
      </c>
    </row>
    <row r="45" spans="1:7" ht="15.75" thickBot="1">
      <c r="A45" s="11" t="s">
        <v>93</v>
      </c>
      <c r="B45" s="211"/>
      <c r="C45" s="269"/>
      <c r="D45" s="269">
        <v>3600</v>
      </c>
      <c r="E45" s="269"/>
      <c r="F45" s="269"/>
      <c r="G45" s="298">
        <f t="shared" si="1"/>
        <v>3600</v>
      </c>
    </row>
    <row r="46" spans="1:7" ht="15.75" thickBot="1">
      <c r="A46" s="11" t="s">
        <v>96</v>
      </c>
      <c r="B46" s="211">
        <v>3500000</v>
      </c>
      <c r="C46" s="269"/>
      <c r="D46" s="269"/>
      <c r="E46" s="269"/>
      <c r="F46" s="269"/>
      <c r="G46" s="298">
        <f t="shared" si="1"/>
        <v>3500000</v>
      </c>
    </row>
    <row r="47" spans="1:7" ht="15.75" thickBot="1">
      <c r="A47" s="11" t="s">
        <v>109</v>
      </c>
      <c r="B47" s="211"/>
      <c r="C47" s="269"/>
      <c r="D47" s="269"/>
      <c r="E47" s="269"/>
      <c r="F47" s="269"/>
      <c r="G47" s="298">
        <f t="shared" si="1"/>
        <v>0</v>
      </c>
    </row>
    <row r="48" spans="1:7" ht="15.75" thickBot="1">
      <c r="A48" s="11" t="s">
        <v>400</v>
      </c>
      <c r="B48" s="211"/>
      <c r="C48" s="269"/>
      <c r="D48" s="269">
        <v>70000</v>
      </c>
      <c r="E48" s="269"/>
      <c r="F48" s="269"/>
      <c r="G48" s="298">
        <f t="shared" si="1"/>
        <v>70000</v>
      </c>
    </row>
    <row r="49" spans="1:7" ht="15.75" thickBot="1">
      <c r="A49" s="11" t="s">
        <v>401</v>
      </c>
      <c r="B49" s="211"/>
      <c r="C49" s="269"/>
      <c r="D49" s="269">
        <v>50000</v>
      </c>
      <c r="E49" s="269"/>
      <c r="F49" s="269"/>
      <c r="G49" s="298">
        <f t="shared" si="1"/>
        <v>50000</v>
      </c>
    </row>
    <row r="50" spans="1:7" ht="15.75" thickBot="1">
      <c r="A50" s="11" t="s">
        <v>402</v>
      </c>
      <c r="B50" s="211"/>
      <c r="C50" s="269"/>
      <c r="D50" s="269">
        <v>50000</v>
      </c>
      <c r="E50" s="269"/>
      <c r="F50" s="269"/>
      <c r="G50" s="298">
        <f t="shared" si="1"/>
        <v>50000</v>
      </c>
    </row>
    <row r="51" spans="1:7" ht="15.75" thickBot="1">
      <c r="A51" s="11" t="s">
        <v>403</v>
      </c>
      <c r="B51" s="211"/>
      <c r="C51" s="269"/>
      <c r="D51" s="269">
        <v>475000</v>
      </c>
      <c r="E51" s="269"/>
      <c r="F51" s="269"/>
      <c r="G51" s="298">
        <f t="shared" si="1"/>
        <v>475000</v>
      </c>
    </row>
    <row r="52" spans="1:7" ht="15.75" thickBot="1">
      <c r="A52" s="11" t="s">
        <v>399</v>
      </c>
      <c r="B52" s="211"/>
      <c r="C52" s="269"/>
      <c r="D52" s="269">
        <v>60000</v>
      </c>
      <c r="E52" s="269"/>
      <c r="F52" s="269"/>
      <c r="G52" s="298">
        <f t="shared" si="1"/>
        <v>60000</v>
      </c>
    </row>
    <row r="53" spans="1:7" ht="15.75" thickBot="1">
      <c r="A53" s="11" t="s">
        <v>103</v>
      </c>
      <c r="B53" s="211"/>
      <c r="C53" s="269"/>
      <c r="D53" s="269">
        <v>150000</v>
      </c>
      <c r="E53" s="269"/>
      <c r="F53" s="269"/>
      <c r="G53" s="298">
        <f t="shared" si="1"/>
        <v>150000</v>
      </c>
    </row>
    <row r="54" spans="1:7" s="381" customFormat="1" ht="15.75" thickBot="1">
      <c r="A54" s="382" t="s">
        <v>55</v>
      </c>
      <c r="B54" s="380">
        <f t="shared" ref="B54:F54" si="2">SUM(B9:B53)</f>
        <v>4708307</v>
      </c>
      <c r="C54" s="380">
        <f t="shared" si="2"/>
        <v>3843846</v>
      </c>
      <c r="D54" s="380">
        <f t="shared" si="2"/>
        <v>3154618</v>
      </c>
      <c r="E54" s="380">
        <f t="shared" si="2"/>
        <v>729557.52</v>
      </c>
      <c r="F54" s="380">
        <f t="shared" si="2"/>
        <v>876412</v>
      </c>
      <c r="G54" s="380">
        <f>SUM(G9:G53)</f>
        <v>13312740.52</v>
      </c>
    </row>
    <row r="55" spans="1:7" ht="15.75" thickBot="1">
      <c r="A55" s="10"/>
      <c r="B55" s="211"/>
      <c r="C55" s="269"/>
      <c r="D55" s="269"/>
      <c r="E55" s="269"/>
      <c r="F55" s="269"/>
      <c r="G55" s="211"/>
    </row>
    <row r="56" spans="1:7" ht="23.25" customHeight="1" thickBot="1">
      <c r="A56" s="10" t="s">
        <v>18</v>
      </c>
      <c r="B56" s="211"/>
      <c r="C56" s="269">
        <v>30000</v>
      </c>
      <c r="D56" s="269">
        <v>100000</v>
      </c>
      <c r="E56" s="269"/>
      <c r="F56" s="269">
        <v>0</v>
      </c>
      <c r="G56" s="298">
        <f t="shared" ref="G56:G66" si="3">SUM(B56:F56)</f>
        <v>130000</v>
      </c>
    </row>
    <row r="57" spans="1:7" ht="18.75" customHeight="1" thickBot="1">
      <c r="A57" s="10" t="s">
        <v>19</v>
      </c>
      <c r="B57" s="211"/>
      <c r="C57" s="269"/>
      <c r="D57" s="269">
        <v>100000</v>
      </c>
      <c r="E57" s="269"/>
      <c r="F57" s="269"/>
      <c r="G57" s="298">
        <f t="shared" si="3"/>
        <v>100000</v>
      </c>
    </row>
    <row r="58" spans="1:7" ht="21" customHeight="1" thickBot="1">
      <c r="A58" s="10" t="s">
        <v>56</v>
      </c>
      <c r="B58" s="211"/>
      <c r="C58" s="269"/>
      <c r="D58" s="269">
        <v>20000</v>
      </c>
      <c r="E58" s="269"/>
      <c r="F58" s="269"/>
      <c r="G58" s="298">
        <f t="shared" si="3"/>
        <v>20000</v>
      </c>
    </row>
    <row r="59" spans="1:7" ht="24" customHeight="1" thickBot="1">
      <c r="A59" s="10" t="s">
        <v>307</v>
      </c>
      <c r="B59" s="211"/>
      <c r="C59" s="269"/>
      <c r="D59" s="269"/>
      <c r="E59" s="269"/>
      <c r="F59" s="269"/>
      <c r="G59" s="298">
        <f t="shared" si="3"/>
        <v>0</v>
      </c>
    </row>
    <row r="60" spans="1:7" ht="16.5" customHeight="1" thickBot="1">
      <c r="A60" s="10" t="s">
        <v>308</v>
      </c>
      <c r="B60" s="211"/>
      <c r="C60" s="269"/>
      <c r="D60" s="269"/>
      <c r="E60" s="269"/>
      <c r="F60" s="269"/>
      <c r="G60" s="298">
        <f t="shared" si="3"/>
        <v>0</v>
      </c>
    </row>
    <row r="61" spans="1:7" ht="18" customHeight="1" thickBot="1">
      <c r="A61" s="10" t="s">
        <v>300</v>
      </c>
      <c r="B61" s="211"/>
      <c r="C61" s="269"/>
      <c r="D61" s="269">
        <v>200000</v>
      </c>
      <c r="E61" s="269"/>
      <c r="F61" s="269"/>
      <c r="G61" s="298">
        <f t="shared" si="3"/>
        <v>200000</v>
      </c>
    </row>
    <row r="62" spans="1:7" ht="18" customHeight="1" thickBot="1">
      <c r="A62" s="10" t="s">
        <v>301</v>
      </c>
      <c r="B62" s="211"/>
      <c r="C62" s="269"/>
      <c r="D62" s="269"/>
      <c r="E62" s="269"/>
      <c r="F62" s="269"/>
      <c r="G62" s="298">
        <f t="shared" si="3"/>
        <v>0</v>
      </c>
    </row>
    <row r="63" spans="1:7" ht="31.5" customHeight="1" thickBot="1">
      <c r="A63" s="10" t="s">
        <v>302</v>
      </c>
      <c r="B63" s="211"/>
      <c r="C63" s="269"/>
      <c r="D63" s="269"/>
      <c r="E63" s="269"/>
      <c r="F63" s="269"/>
      <c r="G63" s="298">
        <f t="shared" si="3"/>
        <v>0</v>
      </c>
    </row>
    <row r="64" spans="1:7" ht="20.25" customHeight="1" thickBot="1">
      <c r="A64" s="10" t="s">
        <v>309</v>
      </c>
      <c r="B64" s="211"/>
      <c r="C64" s="269"/>
      <c r="D64" s="269">
        <v>100000</v>
      </c>
      <c r="E64" s="269"/>
      <c r="F64" s="269"/>
      <c r="G64" s="298">
        <f t="shared" si="3"/>
        <v>100000</v>
      </c>
    </row>
    <row r="65" spans="1:7" ht="24.75" customHeight="1" thickBot="1">
      <c r="A65" s="10" t="s">
        <v>310</v>
      </c>
      <c r="B65" s="211"/>
      <c r="C65" s="269"/>
      <c r="D65" s="269"/>
      <c r="E65" s="269"/>
      <c r="F65" s="269"/>
      <c r="G65" s="298">
        <f t="shared" si="3"/>
        <v>0</v>
      </c>
    </row>
    <row r="66" spans="1:7" ht="20.25" customHeight="1" thickBot="1">
      <c r="A66" s="10" t="s">
        <v>57</v>
      </c>
      <c r="B66" s="211"/>
      <c r="C66" s="269"/>
      <c r="D66" s="269">
        <v>50000</v>
      </c>
      <c r="E66" s="269"/>
      <c r="F66" s="269"/>
      <c r="G66" s="298">
        <f t="shared" si="3"/>
        <v>50000</v>
      </c>
    </row>
    <row r="67" spans="1:7" s="381" customFormat="1" ht="19.5" customHeight="1" thickBot="1">
      <c r="A67" s="383" t="s">
        <v>58</v>
      </c>
      <c r="B67" s="384">
        <f t="shared" ref="B67:G67" si="4">SUM(B56:B66)</f>
        <v>0</v>
      </c>
      <c r="C67" s="384">
        <f t="shared" si="4"/>
        <v>30000</v>
      </c>
      <c r="D67" s="384">
        <f t="shared" si="4"/>
        <v>570000</v>
      </c>
      <c r="E67" s="384">
        <f t="shared" si="4"/>
        <v>0</v>
      </c>
      <c r="F67" s="384">
        <f t="shared" si="4"/>
        <v>0</v>
      </c>
      <c r="G67" s="384">
        <f t="shared" si="4"/>
        <v>600000</v>
      </c>
    </row>
    <row r="68" spans="1:7" ht="15.75" thickBot="1">
      <c r="A68" s="360"/>
      <c r="B68" s="269"/>
      <c r="C68" s="269"/>
      <c r="D68" s="269"/>
      <c r="E68" s="269"/>
      <c r="F68" s="269"/>
      <c r="G68" s="269"/>
    </row>
    <row r="69" spans="1:7" ht="21.75" customHeight="1" thickBot="1">
      <c r="A69" s="360" t="s">
        <v>20</v>
      </c>
      <c r="B69" s="269">
        <v>200000</v>
      </c>
      <c r="C69" s="269"/>
      <c r="D69" s="269"/>
      <c r="E69" s="269"/>
      <c r="F69" s="269"/>
      <c r="G69" s="268">
        <f t="shared" ref="G69:G103" si="5">SUM(B69:F69)</f>
        <v>200000</v>
      </c>
    </row>
    <row r="70" spans="1:7" ht="15.75" thickBot="1">
      <c r="A70" s="259" t="s">
        <v>21</v>
      </c>
      <c r="B70" s="269">
        <v>165000</v>
      </c>
      <c r="C70" s="269"/>
      <c r="D70" s="269"/>
      <c r="E70" s="269"/>
      <c r="F70" s="269"/>
      <c r="G70" s="268">
        <f t="shared" si="5"/>
        <v>165000</v>
      </c>
    </row>
    <row r="71" spans="1:7" ht="15.75" thickBot="1">
      <c r="A71" s="259" t="s">
        <v>22</v>
      </c>
      <c r="B71" s="269">
        <v>90000</v>
      </c>
      <c r="C71" s="269"/>
      <c r="D71" s="269"/>
      <c r="E71" s="269"/>
      <c r="F71" s="269"/>
      <c r="G71" s="268">
        <f t="shared" si="5"/>
        <v>90000</v>
      </c>
    </row>
    <row r="72" spans="1:7" ht="15.75" thickBot="1">
      <c r="A72" s="259" t="s">
        <v>59</v>
      </c>
      <c r="B72" s="269">
        <v>15000</v>
      </c>
      <c r="C72" s="269"/>
      <c r="D72" s="269"/>
      <c r="E72" s="269"/>
      <c r="F72" s="269"/>
      <c r="G72" s="268">
        <f t="shared" si="5"/>
        <v>15000</v>
      </c>
    </row>
    <row r="73" spans="1:7" ht="15.75" thickBot="1">
      <c r="A73" s="259" t="s">
        <v>60</v>
      </c>
      <c r="B73" s="269">
        <v>300000</v>
      </c>
      <c r="C73" s="269"/>
      <c r="D73" s="269"/>
      <c r="E73" s="269"/>
      <c r="F73" s="269"/>
      <c r="G73" s="268">
        <f t="shared" si="5"/>
        <v>300000</v>
      </c>
    </row>
    <row r="74" spans="1:7" ht="15.75" thickBot="1">
      <c r="A74" s="259" t="s">
        <v>61</v>
      </c>
      <c r="B74" s="269"/>
      <c r="C74" s="269"/>
      <c r="D74" s="269"/>
      <c r="E74" s="269"/>
      <c r="F74" s="269"/>
      <c r="G74" s="268">
        <f t="shared" si="5"/>
        <v>0</v>
      </c>
    </row>
    <row r="75" spans="1:7" ht="23.25" customHeight="1" thickBot="1">
      <c r="A75" s="360" t="s">
        <v>17</v>
      </c>
      <c r="B75" s="269">
        <v>27500</v>
      </c>
      <c r="C75" s="269"/>
      <c r="D75" s="269"/>
      <c r="E75" s="269"/>
      <c r="F75" s="269"/>
      <c r="G75" s="268">
        <f t="shared" si="5"/>
        <v>27500</v>
      </c>
    </row>
    <row r="76" spans="1:7" ht="18.75" customHeight="1" thickBot="1">
      <c r="A76" s="360" t="s">
        <v>83</v>
      </c>
      <c r="B76" s="269"/>
      <c r="C76" s="269"/>
      <c r="D76" s="269"/>
      <c r="E76" s="269">
        <v>700000</v>
      </c>
      <c r="F76" s="269"/>
      <c r="G76" s="268">
        <f t="shared" si="5"/>
        <v>700000</v>
      </c>
    </row>
    <row r="77" spans="1:7" ht="21.75" customHeight="1" thickBot="1">
      <c r="A77" s="360" t="s">
        <v>30</v>
      </c>
      <c r="B77" s="269"/>
      <c r="C77" s="269">
        <v>300000</v>
      </c>
      <c r="D77" s="269"/>
      <c r="E77" s="269"/>
      <c r="F77" s="269"/>
      <c r="G77" s="268">
        <f t="shared" si="5"/>
        <v>300000</v>
      </c>
    </row>
    <row r="78" spans="1:7" ht="21.75" customHeight="1" thickBot="1">
      <c r="A78" s="360" t="s">
        <v>102</v>
      </c>
      <c r="B78" s="271"/>
      <c r="C78" s="271"/>
      <c r="D78" s="271"/>
      <c r="E78" s="269"/>
      <c r="F78" s="271"/>
      <c r="G78" s="268">
        <f t="shared" si="5"/>
        <v>0</v>
      </c>
    </row>
    <row r="79" spans="1:7" ht="19.5" customHeight="1" thickBot="1">
      <c r="A79" s="360" t="s">
        <v>31</v>
      </c>
      <c r="B79" s="269"/>
      <c r="C79" s="269"/>
      <c r="D79" s="269"/>
      <c r="E79" s="269">
        <v>150000</v>
      </c>
      <c r="F79" s="269"/>
      <c r="G79" s="268">
        <f t="shared" si="5"/>
        <v>150000</v>
      </c>
    </row>
    <row r="80" spans="1:7" ht="20.25" customHeight="1" thickBot="1">
      <c r="A80" s="360" t="s">
        <v>32</v>
      </c>
      <c r="B80" s="269"/>
      <c r="C80" s="269"/>
      <c r="D80" s="269"/>
      <c r="E80" s="269"/>
      <c r="F80" s="269"/>
      <c r="G80" s="268">
        <f t="shared" si="5"/>
        <v>0</v>
      </c>
    </row>
    <row r="81" spans="1:7" ht="18.75" customHeight="1" thickBot="1">
      <c r="A81" s="360" t="s">
        <v>294</v>
      </c>
      <c r="B81" s="269"/>
      <c r="C81" s="269"/>
      <c r="D81" s="269"/>
      <c r="E81" s="269">
        <v>300000</v>
      </c>
      <c r="F81" s="269"/>
      <c r="G81" s="268">
        <f t="shared" si="5"/>
        <v>300000</v>
      </c>
    </row>
    <row r="82" spans="1:7" ht="21" customHeight="1" thickBot="1">
      <c r="A82" s="360" t="s">
        <v>82</v>
      </c>
      <c r="B82" s="269"/>
      <c r="C82" s="269"/>
      <c r="D82" s="269"/>
      <c r="E82" s="269"/>
      <c r="F82" s="269"/>
      <c r="G82" s="268">
        <f t="shared" si="5"/>
        <v>0</v>
      </c>
    </row>
    <row r="83" spans="1:7" ht="24.75" customHeight="1" thickBot="1">
      <c r="A83" s="360" t="s">
        <v>100</v>
      </c>
      <c r="B83" s="269"/>
      <c r="C83" s="269">
        <v>0</v>
      </c>
      <c r="D83" s="269"/>
      <c r="E83" s="269"/>
      <c r="F83" s="269"/>
      <c r="G83" s="268">
        <f t="shared" si="5"/>
        <v>0</v>
      </c>
    </row>
    <row r="84" spans="1:7" ht="20.25" customHeight="1" thickBot="1">
      <c r="A84" s="360" t="s">
        <v>34</v>
      </c>
      <c r="B84" s="269"/>
      <c r="C84" s="269"/>
      <c r="D84" s="269"/>
      <c r="E84" s="269"/>
      <c r="F84" s="269"/>
      <c r="G84" s="268">
        <f t="shared" si="5"/>
        <v>0</v>
      </c>
    </row>
    <row r="85" spans="1:7" ht="20.25" customHeight="1" thickBot="1">
      <c r="A85" s="360" t="s">
        <v>37</v>
      </c>
      <c r="B85" s="269"/>
      <c r="C85" s="269"/>
      <c r="D85" s="269"/>
      <c r="E85" s="269">
        <v>1800000</v>
      </c>
      <c r="F85" s="269"/>
      <c r="G85" s="268">
        <f t="shared" si="5"/>
        <v>1800000</v>
      </c>
    </row>
    <row r="86" spans="1:7" ht="27" customHeight="1" thickBot="1">
      <c r="A86" s="360" t="s">
        <v>359</v>
      </c>
      <c r="B86" s="269"/>
      <c r="C86" s="269"/>
      <c r="D86" s="269"/>
      <c r="E86" s="269">
        <v>600000</v>
      </c>
      <c r="F86" s="269"/>
      <c r="G86" s="268">
        <f t="shared" si="5"/>
        <v>600000</v>
      </c>
    </row>
    <row r="87" spans="1:7" ht="22.5" customHeight="1" thickBot="1">
      <c r="A87" s="360" t="s">
        <v>90</v>
      </c>
      <c r="B87" s="269"/>
      <c r="C87" s="269">
        <v>20000</v>
      </c>
      <c r="D87" s="269"/>
      <c r="E87" s="269">
        <v>50000</v>
      </c>
      <c r="F87" s="269"/>
      <c r="G87" s="268">
        <f t="shared" si="5"/>
        <v>70000</v>
      </c>
    </row>
    <row r="88" spans="1:7" ht="18.75" customHeight="1" thickBot="1">
      <c r="A88" s="360" t="s">
        <v>297</v>
      </c>
      <c r="B88" s="269"/>
      <c r="C88" s="269">
        <v>300000</v>
      </c>
      <c r="D88" s="269"/>
      <c r="E88" s="269"/>
      <c r="F88" s="269"/>
      <c r="G88" s="268">
        <f t="shared" si="5"/>
        <v>300000</v>
      </c>
    </row>
    <row r="89" spans="1:7" ht="18.75" customHeight="1" thickBot="1">
      <c r="A89" s="360" t="s">
        <v>63</v>
      </c>
      <c r="B89" s="269"/>
      <c r="C89" s="269"/>
      <c r="D89" s="269"/>
      <c r="E89" s="269"/>
      <c r="F89" s="269">
        <v>770000</v>
      </c>
      <c r="G89" s="268">
        <f t="shared" si="5"/>
        <v>770000</v>
      </c>
    </row>
    <row r="90" spans="1:7" ht="17.25" customHeight="1" thickBot="1">
      <c r="A90" s="360" t="s">
        <v>89</v>
      </c>
      <c r="B90" s="269"/>
      <c r="C90" s="269"/>
      <c r="D90" s="269"/>
      <c r="E90" s="269">
        <v>1080000</v>
      </c>
      <c r="F90" s="269"/>
      <c r="G90" s="268">
        <f t="shared" si="5"/>
        <v>1080000</v>
      </c>
    </row>
    <row r="91" spans="1:7" ht="21" customHeight="1" thickBot="1">
      <c r="A91" s="360" t="s">
        <v>311</v>
      </c>
      <c r="B91" s="269"/>
      <c r="C91" s="269"/>
      <c r="D91" s="269"/>
      <c r="E91" s="269"/>
      <c r="F91" s="269">
        <v>750000</v>
      </c>
      <c r="G91" s="268">
        <f t="shared" si="5"/>
        <v>750000</v>
      </c>
    </row>
    <row r="92" spans="1:7" ht="19.5" customHeight="1" thickBot="1">
      <c r="A92" s="360" t="s">
        <v>85</v>
      </c>
      <c r="B92" s="269"/>
      <c r="C92" s="269"/>
      <c r="D92" s="269"/>
      <c r="E92" s="269"/>
      <c r="F92" s="269"/>
      <c r="G92" s="268">
        <f t="shared" si="5"/>
        <v>0</v>
      </c>
    </row>
    <row r="93" spans="1:7" ht="21" customHeight="1" thickBot="1">
      <c r="A93" s="360" t="s">
        <v>33</v>
      </c>
      <c r="B93" s="269">
        <v>200000</v>
      </c>
      <c r="C93" s="269"/>
      <c r="D93" s="269"/>
      <c r="E93" s="269"/>
      <c r="F93" s="269"/>
      <c r="G93" s="268">
        <f t="shared" si="5"/>
        <v>200000</v>
      </c>
    </row>
    <row r="94" spans="1:7" ht="15.75" thickBot="1">
      <c r="A94" s="259" t="s">
        <v>98</v>
      </c>
      <c r="B94" s="269">
        <v>233500</v>
      </c>
      <c r="C94" s="269">
        <v>233500</v>
      </c>
      <c r="D94" s="269">
        <v>233500</v>
      </c>
      <c r="E94" s="269"/>
      <c r="F94" s="269">
        <v>233500</v>
      </c>
      <c r="G94" s="268">
        <f t="shared" si="5"/>
        <v>934000</v>
      </c>
    </row>
    <row r="95" spans="1:7" ht="15.75" thickBot="1">
      <c r="A95" s="259" t="s">
        <v>299</v>
      </c>
      <c r="B95" s="269"/>
      <c r="C95" s="269">
        <v>50000</v>
      </c>
      <c r="D95" s="269">
        <v>100000</v>
      </c>
      <c r="E95" s="269"/>
      <c r="F95" s="269">
        <v>100000</v>
      </c>
      <c r="G95" s="268">
        <f t="shared" si="5"/>
        <v>250000</v>
      </c>
    </row>
    <row r="96" spans="1:7" ht="15.75" thickBot="1">
      <c r="A96" s="259" t="s">
        <v>293</v>
      </c>
      <c r="B96" s="269"/>
      <c r="C96" s="269"/>
      <c r="D96" s="269"/>
      <c r="E96" s="269"/>
      <c r="F96" s="269"/>
      <c r="G96" s="268">
        <f t="shared" si="5"/>
        <v>0</v>
      </c>
    </row>
    <row r="97" spans="1:7" ht="15.75" thickBot="1">
      <c r="A97" s="259" t="s">
        <v>101</v>
      </c>
      <c r="B97" s="269"/>
      <c r="C97" s="269"/>
      <c r="D97" s="269"/>
      <c r="E97" s="269"/>
      <c r="F97" s="269"/>
      <c r="G97" s="268">
        <f t="shared" si="5"/>
        <v>0</v>
      </c>
    </row>
    <row r="98" spans="1:7" ht="15.75" thickBot="1">
      <c r="A98" s="274" t="s">
        <v>296</v>
      </c>
      <c r="B98" s="269"/>
      <c r="C98" s="269">
        <v>10000</v>
      </c>
      <c r="D98" s="269"/>
      <c r="E98" s="269"/>
      <c r="F98" s="269"/>
      <c r="G98" s="268">
        <f t="shared" si="5"/>
        <v>10000</v>
      </c>
    </row>
    <row r="99" spans="1:7" ht="15.75" thickBot="1">
      <c r="A99" s="259" t="s">
        <v>304</v>
      </c>
      <c r="B99" s="269"/>
      <c r="C99" s="269"/>
      <c r="D99" s="269"/>
      <c r="E99" s="269"/>
      <c r="F99" s="269"/>
      <c r="G99" s="268">
        <f t="shared" si="5"/>
        <v>0</v>
      </c>
    </row>
    <row r="100" spans="1:7" ht="15.75" thickBot="1">
      <c r="A100" s="259" t="s">
        <v>99</v>
      </c>
      <c r="B100" s="269"/>
      <c r="C100" s="269"/>
      <c r="D100" s="269"/>
      <c r="E100" s="269"/>
      <c r="F100" s="269"/>
      <c r="G100" s="268">
        <f t="shared" si="5"/>
        <v>0</v>
      </c>
    </row>
    <row r="101" spans="1:7" ht="15.75" thickBot="1">
      <c r="A101" s="259" t="s">
        <v>110</v>
      </c>
      <c r="B101" s="269"/>
      <c r="C101" s="269"/>
      <c r="D101" s="269"/>
      <c r="E101" s="269"/>
      <c r="F101" s="269"/>
      <c r="G101" s="268">
        <f t="shared" si="5"/>
        <v>0</v>
      </c>
    </row>
    <row r="102" spans="1:7" ht="15.75" thickBot="1">
      <c r="A102" s="259" t="s">
        <v>111</v>
      </c>
      <c r="B102" s="269"/>
      <c r="C102" s="269"/>
      <c r="D102" s="269"/>
      <c r="E102" s="269"/>
      <c r="F102" s="269"/>
      <c r="G102" s="268">
        <f t="shared" si="5"/>
        <v>0</v>
      </c>
    </row>
    <row r="103" spans="1:7" ht="15.75" thickBot="1">
      <c r="A103" s="259" t="s">
        <v>257</v>
      </c>
      <c r="B103" s="269"/>
      <c r="C103" s="269"/>
      <c r="D103" s="269"/>
      <c r="E103" s="269"/>
      <c r="F103" s="269"/>
      <c r="G103" s="268">
        <f t="shared" si="5"/>
        <v>0</v>
      </c>
    </row>
    <row r="104" spans="1:7" ht="15.75" thickBot="1">
      <c r="A104" s="259" t="s">
        <v>64</v>
      </c>
      <c r="B104" s="270">
        <f t="shared" ref="B104:F104" si="6">SUM(B69:B103)</f>
        <v>1231000</v>
      </c>
      <c r="C104" s="270">
        <f t="shared" si="6"/>
        <v>913500</v>
      </c>
      <c r="D104" s="270">
        <f t="shared" si="6"/>
        <v>333500</v>
      </c>
      <c r="E104" s="270">
        <f t="shared" si="6"/>
        <v>4680000</v>
      </c>
      <c r="F104" s="270">
        <f t="shared" si="6"/>
        <v>1853500</v>
      </c>
      <c r="G104" s="270">
        <f>SUM(G69:G103)</f>
        <v>9011500</v>
      </c>
    </row>
    <row r="105" spans="1:7" ht="15.75" thickBot="1">
      <c r="A105" s="259" t="s">
        <v>306</v>
      </c>
      <c r="B105" s="272"/>
      <c r="C105" s="272"/>
      <c r="D105" s="272"/>
      <c r="E105" s="272"/>
      <c r="F105" s="272"/>
      <c r="G105" s="272"/>
    </row>
    <row r="106" spans="1:7" ht="15.75" thickBot="1">
      <c r="A106" s="259" t="s">
        <v>65</v>
      </c>
      <c r="B106" s="269"/>
      <c r="C106" s="269">
        <v>5000</v>
      </c>
      <c r="D106" s="269">
        <v>0</v>
      </c>
      <c r="E106" s="269">
        <v>15000</v>
      </c>
      <c r="F106" s="269">
        <v>80000</v>
      </c>
      <c r="G106" s="268">
        <f t="shared" ref="G106:G113" si="7">SUM(B106:F106)</f>
        <v>100000</v>
      </c>
    </row>
    <row r="107" spans="1:7" ht="15.75" thickBot="1">
      <c r="A107" s="259" t="s">
        <v>66</v>
      </c>
      <c r="B107" s="269"/>
      <c r="C107" s="269">
        <v>20000</v>
      </c>
      <c r="D107" s="269">
        <v>25000</v>
      </c>
      <c r="E107" s="269">
        <v>75000</v>
      </c>
      <c r="F107" s="269">
        <v>100000</v>
      </c>
      <c r="G107" s="268">
        <f t="shared" si="7"/>
        <v>220000</v>
      </c>
    </row>
    <row r="108" spans="1:7" ht="15.75" thickBot="1">
      <c r="A108" s="259" t="s">
        <v>305</v>
      </c>
      <c r="B108" s="269"/>
      <c r="C108" s="269"/>
      <c r="D108" s="269"/>
      <c r="E108" s="269"/>
      <c r="F108" s="269"/>
      <c r="G108" s="268">
        <f t="shared" si="7"/>
        <v>0</v>
      </c>
    </row>
    <row r="109" spans="1:7" ht="15.75" thickBot="1">
      <c r="A109" s="259" t="s">
        <v>313</v>
      </c>
      <c r="B109" s="269"/>
      <c r="C109" s="269"/>
      <c r="D109" s="269">
        <v>500000</v>
      </c>
      <c r="E109" s="269"/>
      <c r="F109" s="269"/>
      <c r="G109" s="268">
        <f t="shared" si="7"/>
        <v>500000</v>
      </c>
    </row>
    <row r="110" spans="1:7" ht="15.75" thickBot="1">
      <c r="A110" s="259" t="s">
        <v>295</v>
      </c>
      <c r="B110" s="269"/>
      <c r="C110" s="269"/>
      <c r="D110" s="269"/>
      <c r="E110" s="269">
        <f>'Annual budget'!E110</f>
        <v>1852000</v>
      </c>
      <c r="F110" s="269"/>
      <c r="G110" s="268">
        <f t="shared" si="7"/>
        <v>1852000</v>
      </c>
    </row>
    <row r="111" spans="1:7" ht="15.75" thickBot="1">
      <c r="A111" s="259" t="s">
        <v>67</v>
      </c>
      <c r="B111" s="269"/>
      <c r="C111" s="269"/>
      <c r="D111" s="269"/>
      <c r="E111" s="269"/>
      <c r="F111" s="269"/>
      <c r="G111" s="268">
        <f t="shared" si="7"/>
        <v>0</v>
      </c>
    </row>
    <row r="112" spans="1:7" ht="15.75" thickBot="1">
      <c r="A112" s="259" t="s">
        <v>398</v>
      </c>
      <c r="B112" s="269"/>
      <c r="C112" s="269"/>
      <c r="D112" s="269"/>
      <c r="E112" s="269"/>
      <c r="F112" s="269">
        <v>160000</v>
      </c>
      <c r="G112" s="268">
        <f t="shared" si="7"/>
        <v>160000</v>
      </c>
    </row>
    <row r="113" spans="1:7" ht="15.75" thickBot="1">
      <c r="A113" s="259" t="s">
        <v>95</v>
      </c>
      <c r="B113" s="269"/>
      <c r="C113" s="269"/>
      <c r="D113" s="269"/>
      <c r="E113" s="269"/>
      <c r="F113" s="269">
        <v>600000</v>
      </c>
      <c r="G113" s="268">
        <f t="shared" si="7"/>
        <v>600000</v>
      </c>
    </row>
    <row r="114" spans="1:7" ht="15.75" thickBot="1">
      <c r="A114" s="259" t="s">
        <v>112</v>
      </c>
      <c r="B114" s="269"/>
      <c r="C114" s="269"/>
      <c r="D114" s="269"/>
      <c r="E114" s="269"/>
      <c r="F114" s="269"/>
      <c r="G114" s="268"/>
    </row>
    <row r="115" spans="1:7" s="381" customFormat="1" ht="15.75" thickBot="1">
      <c r="A115" s="382" t="s">
        <v>68</v>
      </c>
      <c r="B115" s="380">
        <f t="shared" ref="B115:F115" si="8">SUM(B106:B114)</f>
        <v>0</v>
      </c>
      <c r="C115" s="380">
        <f t="shared" si="8"/>
        <v>25000</v>
      </c>
      <c r="D115" s="380">
        <f t="shared" si="8"/>
        <v>525000</v>
      </c>
      <c r="E115" s="380">
        <f t="shared" si="8"/>
        <v>1942000</v>
      </c>
      <c r="F115" s="380">
        <f t="shared" si="8"/>
        <v>940000</v>
      </c>
      <c r="G115" s="380">
        <f>SUM(G106:G114)</f>
        <v>3432000</v>
      </c>
    </row>
    <row r="116" spans="1:7" ht="15.75" thickBot="1">
      <c r="A116" s="12"/>
      <c r="B116" s="208"/>
      <c r="C116" s="267"/>
      <c r="D116" s="267"/>
      <c r="E116" s="267"/>
      <c r="F116" s="267"/>
      <c r="G116" s="208"/>
    </row>
    <row r="117" spans="1:7" ht="15.75" thickBot="1">
      <c r="A117" s="63" t="s">
        <v>92</v>
      </c>
      <c r="B117" s="212">
        <f t="shared" ref="B117:F117" si="9">B115+B104+B67+B54+B7</f>
        <v>10636140.48</v>
      </c>
      <c r="C117" s="212">
        <f t="shared" si="9"/>
        <v>10500074.330587411</v>
      </c>
      <c r="D117" s="212">
        <f t="shared" si="9"/>
        <v>19785132.133683238</v>
      </c>
      <c r="E117" s="212">
        <f t="shared" si="9"/>
        <v>15437724.017077571</v>
      </c>
      <c r="F117" s="212">
        <f t="shared" si="9"/>
        <v>13569570.262233794</v>
      </c>
      <c r="G117" s="212">
        <f>G115+G104+G67+G54+G7</f>
        <v>69928641.223582014</v>
      </c>
    </row>
    <row r="118" spans="1:7" ht="15.75" thickBot="1"/>
    <row r="119" spans="1:7" ht="15.75" thickBot="1">
      <c r="A119" s="62" t="s">
        <v>327</v>
      </c>
      <c r="B119" s="213">
        <v>8428331.8584070802</v>
      </c>
      <c r="C119" s="273">
        <v>6379623.8938053101</v>
      </c>
      <c r="D119" s="273">
        <v>22259997.108318586</v>
      </c>
      <c r="E119" s="273">
        <v>11639008.849557523</v>
      </c>
      <c r="F119" s="273">
        <v>14928408.219911505</v>
      </c>
      <c r="G119" s="213">
        <f>SUM(B119:F119)</f>
        <v>63635369.929999992</v>
      </c>
    </row>
    <row r="120" spans="1:7" ht="15.75" thickBot="1"/>
    <row r="121" spans="1:7" ht="15.75" thickBot="1">
      <c r="A121" s="62" t="s">
        <v>36</v>
      </c>
      <c r="B121" s="213">
        <f t="shared" ref="B121:G121" si="10">B119-B117</f>
        <v>-2207808.6215929203</v>
      </c>
      <c r="C121" s="213">
        <f t="shared" si="10"/>
        <v>-4120450.4367821012</v>
      </c>
      <c r="D121" s="213">
        <f t="shared" si="10"/>
        <v>2474864.9746353477</v>
      </c>
      <c r="E121" s="213">
        <f t="shared" si="10"/>
        <v>-3798715.1675200481</v>
      </c>
      <c r="F121" s="213">
        <f t="shared" si="10"/>
        <v>1358837.9576777108</v>
      </c>
      <c r="G121" s="385">
        <f t="shared" si="10"/>
        <v>-6293271.2935820222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List of Projects</vt:lpstr>
      <vt:lpstr>Payroll</vt:lpstr>
      <vt:lpstr>Long service</vt:lpstr>
      <vt:lpstr>Revenue Allocation</vt:lpstr>
      <vt:lpstr>Annual budget</vt:lpstr>
      <vt:lpstr>INCOME SPLIT</vt:lpstr>
      <vt:lpstr>Sheet1</vt:lpstr>
      <vt:lpstr>'Annual budget'!Print_Area</vt:lpstr>
      <vt:lpstr>Payroll!Print_Area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mmola</dc:creator>
  <cp:lastModifiedBy>Jabulani J. Makubu</cp:lastModifiedBy>
  <cp:lastPrinted>2014-06-26T11:49:14Z</cp:lastPrinted>
  <dcterms:created xsi:type="dcterms:W3CDTF">2011-02-22T09:00:18Z</dcterms:created>
  <dcterms:modified xsi:type="dcterms:W3CDTF">2014-06-27T06:39:07Z</dcterms:modified>
</cp:coreProperties>
</file>